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ducationgovtnz.sharepoint.com/sites/CSACharterSchoolAgency/Shared Documents/Applications &amp; Contract Management/2024 Communications/Correspondence relating to Alwyn Poole/Web Release of Applications/Application pack/"/>
    </mc:Choice>
  </mc:AlternateContent>
  <xr:revisionPtr revIDLastSave="2" documentId="13_ncr:1_{24D71C8A-08BD-483F-B7A8-4C1B03F8D29A}" xr6:coauthVersionLast="47" xr6:coauthVersionMax="47" xr10:uidLastSave="{07245DBA-4B27-41E6-AE6D-B861C07BA21A}"/>
  <bookViews>
    <workbookView xWindow="-120" yWindow="-120" windowWidth="29040" windowHeight="15840" activeTab="1" xr2:uid="{DD13A9EA-803D-4BEA-B09F-02857339724E}"/>
  </bookViews>
  <sheets>
    <sheet name="Readme" sheetId="24" r:id="rId1"/>
    <sheet name="Input" sheetId="7" r:id="rId2"/>
    <sheet name="Output" sheetId="22" r:id="rId3"/>
    <sheet name="Calculation" sheetId="5" state="veryHidden" r:id="rId4"/>
    <sheet name="Services" sheetId="23" r:id="rId5"/>
  </sheets>
  <definedNames>
    <definedName name="Area_Type">Input!$D$17</definedName>
    <definedName name="Donations">Calculation!$B$9</definedName>
    <definedName name="EQI">Calculation!$B$5</definedName>
    <definedName name="EQI_Rate_Table">Table9[#All]</definedName>
    <definedName name="Extra_Students">Calculation!$B$34</definedName>
    <definedName name="First_100">Calculation!$B$32</definedName>
    <definedName name="First_Students">Calculation!$B$33</definedName>
    <definedName name="Isolation_Index">Calculation!$B$6</definedName>
    <definedName name="Maori_Immersion">Calculation!$B$35</definedName>
    <definedName name="New_School_Ind">Calculation!$B$10</definedName>
    <definedName name="Primary_Roll">Calculation!$B$28</definedName>
    <definedName name="Property_Type">Calculation!$B$11</definedName>
    <definedName name="Risk_Management">Calculation!$B$8</definedName>
    <definedName name="School_Type">Calculation!$B$4</definedName>
    <definedName name="Secondary_Roll">Calculation!$B$29</definedName>
    <definedName name="Total_Roll">Calculation!$B$30</definedName>
    <definedName name="Vandalism_Risk">Calculation!$B$7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5" l="1"/>
  <c r="B4" i="5"/>
  <c r="P47" i="5"/>
  <c r="P46" i="5"/>
  <c r="P45" i="5"/>
  <c r="P44" i="5"/>
  <c r="P43" i="5"/>
  <c r="A12" i="5"/>
  <c r="A11" i="5"/>
  <c r="A10" i="5"/>
  <c r="A9" i="5"/>
  <c r="A8" i="5"/>
  <c r="A7" i="5"/>
  <c r="A6" i="5"/>
  <c r="A5" i="5"/>
  <c r="L67" i="5" l="1"/>
  <c r="L66" i="5"/>
  <c r="L65" i="5"/>
  <c r="B12" i="5"/>
  <c r="L64" i="5" l="1"/>
  <c r="L63" i="5"/>
  <c r="L62" i="5"/>
  <c r="L61" i="5"/>
  <c r="L60" i="5"/>
  <c r="L59" i="5"/>
  <c r="B11" i="5"/>
  <c r="L58" i="5"/>
  <c r="L57" i="5" l="1"/>
  <c r="L56" i="5"/>
  <c r="L55" i="5"/>
  <c r="L54" i="5"/>
  <c r="B10" i="5" l="1"/>
  <c r="L52" i="5"/>
  <c r="L50" i="5"/>
  <c r="L53" i="5"/>
  <c r="L51" i="5"/>
  <c r="L49" i="5"/>
  <c r="M41" i="5"/>
  <c r="M40" i="5"/>
  <c r="M39" i="5"/>
  <c r="B9" i="5"/>
  <c r="B8" i="5"/>
  <c r="M44" i="5"/>
  <c r="B15" i="5"/>
  <c r="B16" i="5"/>
  <c r="B17" i="5"/>
  <c r="B18" i="5"/>
  <c r="B19" i="5"/>
  <c r="B20" i="5"/>
  <c r="B21" i="5"/>
  <c r="B22" i="5"/>
  <c r="B23" i="5"/>
  <c r="B24" i="5"/>
  <c r="B25" i="5"/>
  <c r="B26" i="5"/>
  <c r="B27" i="5"/>
  <c r="M15" i="5"/>
  <c r="B39" i="5"/>
  <c r="B40" i="5"/>
  <c r="B41" i="5"/>
  <c r="N28" i="5" s="1"/>
  <c r="B42" i="5"/>
  <c r="N29" i="5" s="1"/>
  <c r="B46" i="5"/>
  <c r="B47" i="5"/>
  <c r="N32" i="5" s="1"/>
  <c r="B7" i="5"/>
  <c r="N44" i="5" s="1"/>
  <c r="M48" i="5"/>
  <c r="M43" i="5"/>
  <c r="M45" i="5"/>
  <c r="M46" i="5"/>
  <c r="M47" i="5"/>
  <c r="L43" i="5"/>
  <c r="L44" i="5"/>
  <c r="L45" i="5"/>
  <c r="L46" i="5"/>
  <c r="L47" i="5"/>
  <c r="L48" i="5"/>
  <c r="L42" i="5"/>
  <c r="B5" i="5"/>
  <c r="M17" i="5"/>
  <c r="M18" i="5"/>
  <c r="B6" i="5"/>
  <c r="M35" i="5" s="1"/>
  <c r="M20" i="5"/>
  <c r="M21" i="5"/>
  <c r="M22" i="5"/>
  <c r="M23" i="5"/>
  <c r="M24" i="5"/>
  <c r="M25" i="5"/>
  <c r="M26" i="5"/>
  <c r="M27" i="5"/>
  <c r="M28" i="5"/>
  <c r="M29" i="5"/>
  <c r="M31" i="5"/>
  <c r="M32" i="5"/>
  <c r="M33" i="5"/>
  <c r="M34" i="5"/>
  <c r="M42" i="5"/>
  <c r="L19" i="5"/>
  <c r="L17" i="5"/>
  <c r="L38" i="5"/>
  <c r="L37" i="5"/>
  <c r="L36" i="5"/>
  <c r="L35" i="5"/>
  <c r="L34" i="5"/>
  <c r="L33" i="5"/>
  <c r="A47" i="5"/>
  <c r="A46" i="5"/>
  <c r="L32" i="5"/>
  <c r="L31" i="5"/>
  <c r="L30" i="5"/>
  <c r="L29" i="5"/>
  <c r="L28" i="5"/>
  <c r="L27" i="5"/>
  <c r="L26" i="5"/>
  <c r="A40" i="5"/>
  <c r="A41" i="5"/>
  <c r="A42" i="5"/>
  <c r="A39" i="5"/>
  <c r="L25" i="5"/>
  <c r="L24" i="5"/>
  <c r="L18" i="5"/>
  <c r="L23" i="5"/>
  <c r="L22" i="5"/>
  <c r="L21" i="5"/>
  <c r="L20" i="5"/>
  <c r="L15" i="5"/>
  <c r="L16" i="5"/>
  <c r="L14" i="5"/>
  <c r="L13" i="5"/>
  <c r="L12" i="5"/>
  <c r="L11" i="5"/>
  <c r="L10" i="5"/>
  <c r="L9" i="5"/>
  <c r="L8" i="5"/>
  <c r="L7" i="5"/>
  <c r="L6" i="5"/>
  <c r="A24" i="5"/>
  <c r="A25" i="5"/>
  <c r="A26" i="5"/>
  <c r="A27" i="5"/>
  <c r="A23" i="5"/>
  <c r="A16" i="5"/>
  <c r="A17" i="5"/>
  <c r="A18" i="5"/>
  <c r="A19" i="5"/>
  <c r="A20" i="5"/>
  <c r="A21" i="5"/>
  <c r="A22" i="5"/>
  <c r="A15" i="5"/>
  <c r="N33" i="5" l="1"/>
  <c r="O33" i="5" s="1"/>
  <c r="N34" i="5"/>
  <c r="N20" i="5"/>
  <c r="O20" i="5" s="1"/>
  <c r="M52" i="5" a="1"/>
  <c r="M52" i="5" s="1"/>
  <c r="M13" i="5"/>
  <c r="M30" i="5"/>
  <c r="N21" i="5"/>
  <c r="O21" i="5" s="1"/>
  <c r="N23" i="5"/>
  <c r="O23" i="5" s="1"/>
  <c r="B36" i="5"/>
  <c r="N54" i="5" s="1"/>
  <c r="N26" i="5"/>
  <c r="O26" i="5" s="1"/>
  <c r="B35" i="5"/>
  <c r="N8" i="5" s="1"/>
  <c r="B29" i="5"/>
  <c r="B28" i="5"/>
  <c r="N24" i="5" s="1"/>
  <c r="O24" i="5" s="1"/>
  <c r="O44" i="5"/>
  <c r="M16" i="5"/>
  <c r="M19" i="5"/>
  <c r="O35" i="5"/>
  <c r="M51" i="5" a="1"/>
  <c r="M51" i="5" s="1"/>
  <c r="N31" i="5"/>
  <c r="O31" i="5" s="1"/>
  <c r="M49" i="5" a="1"/>
  <c r="M49" i="5" s="1"/>
  <c r="M53" i="5" a="1"/>
  <c r="M53" i="5" s="1"/>
  <c r="M50" i="5" a="1"/>
  <c r="M50" i="5" s="1"/>
  <c r="M14" i="5"/>
  <c r="O22" i="5"/>
  <c r="N48" i="5"/>
  <c r="O48" i="5" s="1"/>
  <c r="N45" i="5"/>
  <c r="O45" i="5" s="1"/>
  <c r="O29" i="5"/>
  <c r="B43" i="5"/>
  <c r="O32" i="5"/>
  <c r="O28" i="5"/>
  <c r="N27" i="5"/>
  <c r="O27" i="5" s="1"/>
  <c r="O34" i="5"/>
  <c r="C30" i="22" l="1"/>
  <c r="C28" i="22"/>
  <c r="C26" i="22"/>
  <c r="C31" i="22"/>
  <c r="N25" i="5"/>
  <c r="O25" i="5" s="1"/>
  <c r="N16" i="5"/>
  <c r="B30" i="5"/>
  <c r="N47" i="5" s="1"/>
  <c r="O47" i="5" s="1"/>
  <c r="N67" i="5" l="1"/>
  <c r="C27" i="22"/>
  <c r="N58" i="5"/>
  <c r="M57" i="5"/>
  <c r="O57" i="5" s="1"/>
  <c r="N43" i="5"/>
  <c r="O43" i="5" s="1"/>
  <c r="N50" i="5"/>
  <c r="O50" i="5" s="1"/>
  <c r="N49" i="5"/>
  <c r="O49" i="5" s="1"/>
  <c r="N53" i="5"/>
  <c r="O53" i="5" s="1"/>
  <c r="C46" i="22" s="1"/>
  <c r="N52" i="5"/>
  <c r="O52" i="5" s="1"/>
  <c r="N51" i="5"/>
  <c r="O51" i="5" s="1"/>
  <c r="N42" i="5"/>
  <c r="N17" i="5"/>
  <c r="O17" i="5" s="1"/>
  <c r="N30" i="5"/>
  <c r="O30" i="5" s="1"/>
  <c r="C29" i="22" s="1"/>
  <c r="B32" i="5"/>
  <c r="N40" i="5"/>
  <c r="O40" i="5" s="1"/>
  <c r="C39" i="22" s="1"/>
  <c r="N13" i="5"/>
  <c r="O13" i="5" s="1"/>
  <c r="C21" i="22" s="1"/>
  <c r="N39" i="5"/>
  <c r="O39" i="5" s="1"/>
  <c r="C38" i="22" s="1"/>
  <c r="O16" i="5"/>
  <c r="C23" i="22" s="1"/>
  <c r="N41" i="5"/>
  <c r="O41" i="5" s="1"/>
  <c r="C40" i="22" s="1"/>
  <c r="N14" i="5"/>
  <c r="O14" i="5" s="1"/>
  <c r="N46" i="5"/>
  <c r="O46" i="5" s="1"/>
  <c r="C44" i="22" l="1"/>
  <c r="C33" i="22"/>
  <c r="C41" i="22"/>
  <c r="C45" i="22"/>
  <c r="N18" i="5"/>
  <c r="O18" i="5" s="1"/>
  <c r="C24" i="22" s="1"/>
  <c r="N19" i="5"/>
  <c r="N15" i="5"/>
  <c r="O15" i="5" s="1"/>
  <c r="C22" i="22" s="1"/>
  <c r="O42" i="5"/>
  <c r="C32" i="22" s="1"/>
  <c r="O19" i="5" l="1"/>
  <c r="C25" i="22" s="1"/>
  <c r="N36" i="5" l="1"/>
  <c r="O36" i="5" s="1"/>
  <c r="M56" i="5"/>
  <c r="M55" i="5"/>
  <c r="M66" i="5" a="1"/>
  <c r="M66" i="5" s="1"/>
  <c r="M65" i="5" a="1"/>
  <c r="M65" i="5" s="1"/>
  <c r="M58" i="5" a="1"/>
  <c r="M58" i="5" s="1"/>
  <c r="O58" i="5" s="1"/>
  <c r="M67" i="5" a="1"/>
  <c r="M67" i="5" s="1"/>
  <c r="O67" i="5" s="1"/>
  <c r="B33" i="5"/>
  <c r="N59" i="5" s="1"/>
  <c r="O59" i="5" s="1"/>
  <c r="M54" i="5"/>
  <c r="O54" i="5"/>
  <c r="C14" i="22" s="1"/>
  <c r="M8" i="5"/>
  <c r="O8" i="5" s="1"/>
  <c r="C13" i="22" s="1"/>
  <c r="N37" i="5"/>
  <c r="O37" i="5" s="1"/>
  <c r="N38" i="5"/>
  <c r="O38" i="5" s="1"/>
  <c r="M10" i="5"/>
  <c r="M11" i="5"/>
  <c r="M7" i="5"/>
  <c r="M9" i="5"/>
  <c r="M61" i="5"/>
  <c r="M12" i="5"/>
  <c r="M60" i="5"/>
  <c r="M62" i="5"/>
  <c r="M63" i="5"/>
  <c r="M6" i="5"/>
  <c r="M59" i="5"/>
  <c r="M64" i="5"/>
  <c r="N6" i="5" l="1"/>
  <c r="O6" i="5" s="1"/>
  <c r="C11" i="22" s="1"/>
  <c r="N55" i="5"/>
  <c r="O55" i="5" s="1"/>
  <c r="C18" i="22"/>
  <c r="C47" i="22"/>
  <c r="C49" i="22"/>
  <c r="B34" i="5"/>
  <c r="N9" i="5"/>
  <c r="O9" i="5" s="1"/>
  <c r="N11" i="5"/>
  <c r="O11" i="5" s="1"/>
  <c r="N63" i="5"/>
  <c r="O63" i="5" s="1"/>
  <c r="N65" i="5"/>
  <c r="O65" i="5" s="1"/>
  <c r="N61" i="5"/>
  <c r="O61" i="5" s="1"/>
  <c r="N60" i="5" l="1"/>
  <c r="O60" i="5" s="1"/>
  <c r="N7" i="5"/>
  <c r="O7" i="5" s="1"/>
  <c r="C12" i="22" s="1"/>
  <c r="N64" i="5"/>
  <c r="O64" i="5" s="1"/>
  <c r="C55" i="22" s="1"/>
  <c r="N12" i="5"/>
  <c r="O12" i="5" s="1"/>
  <c r="C20" i="22" s="1"/>
  <c r="N10" i="5"/>
  <c r="O10" i="5" s="1"/>
  <c r="C19" i="22" s="1"/>
  <c r="N56" i="5"/>
  <c r="O56" i="5" s="1"/>
  <c r="N66" i="5"/>
  <c r="O66" i="5" s="1"/>
  <c r="C48" i="22" s="1"/>
  <c r="C50" i="22" s="1"/>
  <c r="N62" i="5"/>
  <c r="O62" i="5" s="1"/>
  <c r="C34" i="22" l="1"/>
  <c r="C15" i="22"/>
  <c r="C54" i="22"/>
  <c r="C53" i="22"/>
  <c r="C56" i="22" s="1"/>
  <c r="C35" i="22" l="1"/>
  <c r="C59"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<sst xmlns="http://schemas.openxmlformats.org/spreadsheetml/2006/main" count="1785" uniqueCount="470">
  <si>
    <t>Establishment Funding</t>
  </si>
  <si>
    <t>Operational Funding</t>
  </si>
  <si>
    <t>Services</t>
  </si>
  <si>
    <t>Property</t>
  </si>
  <si>
    <t>Description</t>
  </si>
  <si>
    <t>Component</t>
  </si>
  <si>
    <t>Sub-Component</t>
  </si>
  <si>
    <t>Notes</t>
  </si>
  <si>
    <t>ICT Funding</t>
  </si>
  <si>
    <t>Targeted Funding for Isolation</t>
  </si>
  <si>
    <t>STAR Funding</t>
  </si>
  <si>
    <t>Payroll</t>
  </si>
  <si>
    <t>Professional Learning and Development (PLD)</t>
  </si>
  <si>
    <t>Digital</t>
  </si>
  <si>
    <t>Total</t>
  </si>
  <si>
    <t>Rate</t>
  </si>
  <si>
    <t>School Type</t>
  </si>
  <si>
    <t>New school</t>
  </si>
  <si>
    <t>Property Type</t>
  </si>
  <si>
    <t>Primary</t>
  </si>
  <si>
    <t>Ministry owned</t>
  </si>
  <si>
    <t>Composite</t>
  </si>
  <si>
    <t>Secondary</t>
  </si>
  <si>
    <t>Sponsor owned</t>
  </si>
  <si>
    <t>Leased from third party</t>
  </si>
  <si>
    <t>Area Classification</t>
  </si>
  <si>
    <t>Major urban centre</t>
  </si>
  <si>
    <t>Other areas</t>
  </si>
  <si>
    <t>EQI</t>
  </si>
  <si>
    <t>Vandalism</t>
  </si>
  <si>
    <t>Low Risk</t>
  </si>
  <si>
    <t>Isolation Index</t>
  </si>
  <si>
    <t>Medium Risk</t>
  </si>
  <si>
    <t>High Risk</t>
  </si>
  <si>
    <t>Critical Risk</t>
  </si>
  <si>
    <t>Roll</t>
  </si>
  <si>
    <t>Extreme Risk</t>
  </si>
  <si>
    <t xml:space="preserve">Not Qualify </t>
  </si>
  <si>
    <t>Māori Immersion</t>
  </si>
  <si>
    <t>Pacific Immersion</t>
  </si>
  <si>
    <t>Māori Language Programmes</t>
  </si>
  <si>
    <t>Level 1</t>
  </si>
  <si>
    <t>Level 2</t>
  </si>
  <si>
    <t>Level 3</t>
  </si>
  <si>
    <t>Level 4</t>
  </si>
  <si>
    <t>Pacific Language Programmes</t>
  </si>
  <si>
    <t>Level</t>
  </si>
  <si>
    <t>Māori immersion: curriculum taught in Māori (Level 1 and 2) and learning te reo Māori (Levels 3, 4a and 4b)</t>
  </si>
  <si>
    <t>81–100% of the time, i.e. for more than 20 and up to 25 hours per week</t>
  </si>
  <si>
    <t>51–80% of the total time, i.e. for more than 12.5 and up to 20 hours per week</t>
  </si>
  <si>
    <t>Te reo Māori: Learning Māori language</t>
  </si>
  <si>
    <t xml:space="preserve">Vandalism </t>
  </si>
  <si>
    <t>31–50% of the total time, i.e. for more than 7.5 and up to 12.5 hours per week</t>
  </si>
  <si>
    <t>4a</t>
  </si>
  <si>
    <t>12%–30% of the total time, i.e. for more than 3 and up to 7.5 hours per week (more than 70% of instruction is in English)</t>
  </si>
  <si>
    <t>4b</t>
  </si>
  <si>
    <t>At least 3 hours per week</t>
  </si>
  <si>
    <t>Risk Management Scheme Premium</t>
  </si>
  <si>
    <t>Risk management scheme is a non-profit scheme that offers comprehensive contents, liability and cyber insurance for your school. </t>
  </si>
  <si>
    <t>Schools can choose to insure with a private insurance company or join this scheme.</t>
  </si>
  <si>
    <t>All school assets, other than land and buildings owned by the Crown, must be insured.</t>
  </si>
  <si>
    <t>https://www.education.govt.nz/school/funding-and-financials/resourcing/operational-funding/the-risk-management-scheme-contents-and-liability-insurance/#:~:text=The%20scheme%27s%20insurance%20levy%20is,the%20heading%20%27risk%20management%27.</t>
  </si>
  <si>
    <t>School Details</t>
  </si>
  <si>
    <t>Funding Table</t>
  </si>
  <si>
    <t>Component ID</t>
  </si>
  <si>
    <t>Sub Component</t>
  </si>
  <si>
    <t>category</t>
  </si>
  <si>
    <t>Rate Source</t>
  </si>
  <si>
    <t>Student Count</t>
  </si>
  <si>
    <t>Funding</t>
  </si>
  <si>
    <t>Salaries Funding</t>
  </si>
  <si>
    <t>first_student</t>
  </si>
  <si>
    <t>extra_student</t>
  </si>
  <si>
    <t>Relief Teacher funding</t>
  </si>
  <si>
    <t>Heat Light and Water funding</t>
  </si>
  <si>
    <t>Count</t>
  </si>
  <si>
    <t xml:space="preserve">Equity Funding (EQI) </t>
  </si>
  <si>
    <t>per-pupil</t>
  </si>
  <si>
    <t>Support for Inclusion (SIF) previously SEG</t>
  </si>
  <si>
    <t>SIF Base Rate</t>
  </si>
  <si>
    <t>base</t>
  </si>
  <si>
    <t>Careers Information Grant (CIG)</t>
  </si>
  <si>
    <t>ICT Base Rate</t>
  </si>
  <si>
    <t>TFI Base Rate</t>
  </si>
  <si>
    <t>Per-Pupil Funding</t>
  </si>
  <si>
    <t>Y1Y6</t>
  </si>
  <si>
    <t>Y7Y8</t>
  </si>
  <si>
    <t>Y9Y10</t>
  </si>
  <si>
    <t>Y11Y15</t>
  </si>
  <si>
    <t>KiwiSport</t>
  </si>
  <si>
    <t>Y1-Y8</t>
  </si>
  <si>
    <t>Kiwisport</t>
  </si>
  <si>
    <t>Y9-Y15</t>
  </si>
  <si>
    <t xml:space="preserve">Maori Language Programme </t>
  </si>
  <si>
    <t>Donations Scheme</t>
  </si>
  <si>
    <t>Per-Pupil</t>
  </si>
  <si>
    <t>For Primary = min(100,total roll), for Secondary and Composite = min(200, total school roll)</t>
  </si>
  <si>
    <t>Pacific Bilingual and Immersion Funding</t>
  </si>
  <si>
    <t>Extra Students</t>
  </si>
  <si>
    <t>The total roll minus the first students</t>
  </si>
  <si>
    <t>First 30 Units</t>
  </si>
  <si>
    <t>Remaining Units</t>
  </si>
  <si>
    <t>Unit</t>
  </si>
  <si>
    <t>Base Funding</t>
  </si>
  <si>
    <t>Level 1 &amp; 2 = # Māori Immersion students</t>
  </si>
  <si>
    <t>All</t>
  </si>
  <si>
    <t>Services Table</t>
  </si>
  <si>
    <t>Establishment funding</t>
  </si>
  <si>
    <t>Operational Establishment Funding</t>
  </si>
  <si>
    <t>first_students</t>
  </si>
  <si>
    <t>additional_students</t>
  </si>
  <si>
    <t xml:space="preserve">Senior Management Establishment Funding </t>
  </si>
  <si>
    <t>First 200</t>
  </si>
  <si>
    <t xml:space="preserve">HOD Establishment Funding </t>
  </si>
  <si>
    <t>Staffing Establishment Funding</t>
  </si>
  <si>
    <t>pacific_immersion</t>
  </si>
  <si>
    <t>Non-teacher top-up</t>
  </si>
  <si>
    <t>Funding = rate * students * EQI</t>
  </si>
  <si>
    <t>Principal Funding</t>
  </si>
  <si>
    <t>rate</t>
  </si>
  <si>
    <t>Initial furniture and equipment funding</t>
  </si>
  <si>
    <t>Property Funding</t>
  </si>
  <si>
    <t xml:space="preserve">Property Maintenance </t>
  </si>
  <si>
    <t>Furniture and Equipment</t>
  </si>
  <si>
    <t xml:space="preserve">Capital Maintenance </t>
  </si>
  <si>
    <t>Establishment fit-out</t>
  </si>
  <si>
    <t>Establishment ICT</t>
  </si>
  <si>
    <t>Rate_Table</t>
  </si>
  <si>
    <t>EQI_Rate_Table</t>
  </si>
  <si>
    <t>OPS_Base_Rates</t>
  </si>
  <si>
    <t>OPS_Core_Comp_Rates</t>
  </si>
  <si>
    <t>OPS_Base_Funding</t>
  </si>
  <si>
    <t>Services-based funding</t>
  </si>
  <si>
    <t>Establishment funding ops</t>
  </si>
  <si>
    <t>Property Maintenance rates</t>
  </si>
  <si>
    <t>Student Type</t>
  </si>
  <si>
    <t>Funding Component</t>
  </si>
  <si>
    <t>Category</t>
  </si>
  <si>
    <t>Base</t>
  </si>
  <si>
    <t>Per Pupil</t>
  </si>
  <si>
    <t>Service</t>
  </si>
  <si>
    <t>Per-student rate</t>
  </si>
  <si>
    <t>Sector</t>
  </si>
  <si>
    <t>1-200 roll</t>
  </si>
  <si>
    <t>200+ roll</t>
  </si>
  <si>
    <t>School type</t>
  </si>
  <si>
    <t>Student type</t>
  </si>
  <si>
    <t>Nationally provided Professional Learning and Development (PLD)</t>
  </si>
  <si>
    <t>Total per-student rate</t>
  </si>
  <si>
    <t>Establishment senior management</t>
  </si>
  <si>
    <t>Roles</t>
  </si>
  <si>
    <t xml:space="preserve">Senior Management </t>
  </si>
  <si>
    <t>Secondary/Composite</t>
  </si>
  <si>
    <t xml:space="preserve">Senior Head of Department </t>
  </si>
  <si>
    <t>Area_Type</t>
  </si>
  <si>
    <t>Establishment staffing rates</t>
  </si>
  <si>
    <t>OPS_Non-Teacher-Top-up</t>
  </si>
  <si>
    <t>Establishment funding principal</t>
  </si>
  <si>
    <t>U-GRADE</t>
  </si>
  <si>
    <t>Minimum roll</t>
  </si>
  <si>
    <t>Max roll</t>
  </si>
  <si>
    <t>U1</t>
  </si>
  <si>
    <t>U2</t>
  </si>
  <si>
    <t>U3</t>
  </si>
  <si>
    <t>*Uses 2025 rates for calculations</t>
  </si>
  <si>
    <t>U4</t>
  </si>
  <si>
    <t>U5</t>
  </si>
  <si>
    <t>U6</t>
  </si>
  <si>
    <t>U7</t>
  </si>
  <si>
    <t>U8</t>
  </si>
  <si>
    <t>U9</t>
  </si>
  <si>
    <t>U10</t>
  </si>
  <si>
    <t>U11</t>
  </si>
  <si>
    <t>U12</t>
  </si>
  <si>
    <t>U13</t>
  </si>
  <si>
    <t>U14</t>
  </si>
  <si>
    <t>*Sponsor owned  rates are for 2024 - will be updated in November</t>
  </si>
  <si>
    <t>U15</t>
  </si>
  <si>
    <t>U16</t>
  </si>
  <si>
    <t xml:space="preserve"> Above </t>
  </si>
  <si>
    <t>Furniture and Equipment Rates</t>
  </si>
  <si>
    <t>Based on School-roll salary component (Dec 2024 onwards)</t>
  </si>
  <si>
    <t>Establishment Furniture and Equipment Rates (New Schools - non-Ministry property)</t>
  </si>
  <si>
    <t>Establishment fit-out (New Schools - non-Ministry property)</t>
  </si>
  <si>
    <t>Establishment ICT funding (New schools - non-Ministry property)</t>
  </si>
  <si>
    <t>First students</t>
  </si>
  <si>
    <t>Non-teacher top-up funding</t>
  </si>
  <si>
    <t>Establishment</t>
  </si>
  <si>
    <t>Capital Maintenance and leased-based funding</t>
  </si>
  <si>
    <t>New School</t>
  </si>
  <si>
    <t>Salaries</t>
  </si>
  <si>
    <t>Data Dictionary</t>
  </si>
  <si>
    <t>Variable Name</t>
  </si>
  <si>
    <t xml:space="preserve">  </t>
  </si>
  <si>
    <t>https://www.education.govt.nz/our-work/changes-in-education/equity-index/</t>
  </si>
  <si>
    <t>Data Format</t>
  </si>
  <si>
    <t>Allowed Values</t>
  </si>
  <si>
    <t>School_Type</t>
  </si>
  <si>
    <t>Type of school.</t>
  </si>
  <si>
    <t>Defined options</t>
  </si>
  <si>
    <t>True/False</t>
  </si>
  <si>
    <t>True or False</t>
  </si>
  <si>
    <t>Type of property ownership.</t>
  </si>
  <si>
    <t>[Ministry-owned, Sponsor-owned, Leased from a third party]</t>
  </si>
  <si>
    <t>Choose the property type from the list of predefined options.</t>
  </si>
  <si>
    <t>Classification of the area where the school is located.</t>
  </si>
  <si>
    <t>[Major urban area, Other]</t>
  </si>
  <si>
    <t>Select the appropriate area classification.</t>
  </si>
  <si>
    <t>Equity Index of the school.</t>
  </si>
  <si>
    <t>Integer</t>
  </si>
  <si>
    <t>Positive integers (e.g., 0, 1, 2, …)</t>
  </si>
  <si>
    <t>Isolation Index of the school.</t>
  </si>
  <si>
    <t>Number of students enrolled in the school by year level.</t>
  </si>
  <si>
    <t>Enter the total number of students by each year level.</t>
  </si>
  <si>
    <t>Indicates if the school is at risk of vandalism.</t>
  </si>
  <si>
    <t>Indicates if the school is included in the Risk Management Scheme.</t>
  </si>
  <si>
    <t>Set to True if the school is included in the Risk Management Scheme.</t>
  </si>
  <si>
    <t>Indicates if the school is included in the Donations Scheme.</t>
  </si>
  <si>
    <t>https://www.legislation.govt.nz/bill/government/2024/0066/latest/LMS965363.html?search=sw_096be8ed81e5a7f4_primary_25_se&amp;p=1&amp;sr=0</t>
  </si>
  <si>
    <t>Relevant Ministry Links</t>
  </si>
  <si>
    <t>Indicates whether the school is newly established.</t>
  </si>
  <si>
    <t>Set to True if the school is a new school;   otherwise, set to False.</t>
  </si>
  <si>
    <t>Enter the Equity Index as a positive integer. The 2024 average is EQI is 461.</t>
  </si>
  <si>
    <t>Positive integers between 344 and 569 (e.g., 344,345,346, …)</t>
  </si>
  <si>
    <t>https://www.education.govt.nz/our-work/changes-in-education/equity-index/faq-isolation-index-changes/</t>
  </si>
  <si>
    <t>Positive Number between 0 and 23 (e.g., 0, 0.1,0.2 …)</t>
  </si>
  <si>
    <t>Enter the Isolation Index as a positive Number. The average Isolation index in 2024 is 0.79.</t>
  </si>
  <si>
    <t>https://www.education.govt.nz/our-work/our-role-and-our-people/education-in-nz/#:~:text=The%20education%20system%20for%20schools,%E2%80%9317%20years%20of%20age).</t>
  </si>
  <si>
    <t>Māori_Language_Programmes</t>
  </si>
  <si>
    <t>Pacific_Language_Programmes</t>
  </si>
  <si>
    <t>https://www.education.govt.nz/school/funding-and-financials/resourcing/operational-funding/operational-funding-components/#Maori</t>
  </si>
  <si>
    <t>https://www.education.govt.nz/school/funding-and-financials/resourcing/operational-funding/the-risk-management-scheme-contents-and-liability-insurance/</t>
  </si>
  <si>
    <t>https://www.education.govt.nz/school/funding-and-financials/fees-charges-and-donations/</t>
  </si>
  <si>
    <t>[Low Risk, Medium Risk, High Risk, Critical Risk, Extreme Risk, Not Qualify]</t>
  </si>
  <si>
    <t>māori_immersion</t>
  </si>
  <si>
    <t>First_Students</t>
  </si>
  <si>
    <t>Extra_Students</t>
  </si>
  <si>
    <t>Māori_Immersion</t>
  </si>
  <si>
    <t>Pacific_Immersion</t>
  </si>
  <si>
    <t>Total_Roll</t>
  </si>
  <si>
    <t>Primary_Roll</t>
  </si>
  <si>
    <t>Secondary_Roll</t>
  </si>
  <si>
    <t>First_100_Students</t>
  </si>
  <si>
    <t>Count of the first 100 students = min(Total_Roll, 100)</t>
  </si>
  <si>
    <t>Rate * First_Students</t>
  </si>
  <si>
    <t>Rate * Extra_Student</t>
  </si>
  <si>
    <t>Rate * Māori_Immersion</t>
  </si>
  <si>
    <t>Input</t>
  </si>
  <si>
    <t>Rate * Total_Roll</t>
  </si>
  <si>
    <t>Rate * First_100_Students</t>
  </si>
  <si>
    <t>Rate * Secondary_Roll</t>
  </si>
  <si>
    <t>If isolation index threshold (1.27) is met. Rate * First_100_Students.
Base rate - first 100 students only</t>
  </si>
  <si>
    <t>Rate * sum of Year 1 - Year 6 rolls.</t>
  </si>
  <si>
    <t>Rate * sum of Year 7 - Year 8 rolls.</t>
  </si>
  <si>
    <t>Rate * sum of Year 9 - Year 10 rolls.</t>
  </si>
  <si>
    <t>Rate * sum of Year 11 - Year 15 rolls.</t>
  </si>
  <si>
    <t>Rate * Primary_Roll</t>
  </si>
  <si>
    <t>Rate * Count of students in Māori Language level 1 programme</t>
  </si>
  <si>
    <t>Rate * Count of students in Māori Language level 2 programme</t>
  </si>
  <si>
    <t>Rate * Count of students in Māori Language level 3 programme</t>
  </si>
  <si>
    <t>Rate * Count of students in Māori Language level 4 programme</t>
  </si>
  <si>
    <t>Inclusion_In_Risk_Management</t>
  </si>
  <si>
    <t>Inclusion_In_Donations_Scheme</t>
  </si>
  <si>
    <t>Rate * Count of students in Pacific Language level 2 programme</t>
  </si>
  <si>
    <t>Rate * Count of students in Pacific Language level 1 programme</t>
  </si>
  <si>
    <t>Rate * Number of Year 11- 13 Students (up to 30)</t>
  </si>
  <si>
    <t>Rate * the number of Year 11-13 students exceeding 30. If there are 30 or fewer students, the funding amount is zero.</t>
  </si>
  <si>
    <t>Isolation Index Squared * Rate</t>
  </si>
  <si>
    <t>https://www.education.govt.nz/school/funding-and-financials/resourcing/operational-funding/operational-funding-components/#:~:text=We%20provide%20base%20funding%20to,costs%20as%20a%20larger%20school).</t>
  </si>
  <si>
    <t>This is working off a formula as available on the Ministry website. Note only one row pertaining to school type should have values.</t>
  </si>
  <si>
    <t>If the school has opted into the risk management scheme, then Rate * Total_Roll</t>
  </si>
  <si>
    <t>No Funding</t>
  </si>
  <si>
    <t>Rate * Pacific_Immersion</t>
  </si>
  <si>
    <t>If New_School = Rate * the first 200 of Total_Roll</t>
  </si>
  <si>
    <t>If New_School = Rate * Total_roll above 200</t>
  </si>
  <si>
    <t>If New_School = Rate * Total_Roll</t>
  </si>
  <si>
    <t>If New_School = Rate for Q3 principal salary (with flow-ons)</t>
  </si>
  <si>
    <t>If New_School &amp; Property_Type is not Ministry owned = Rate * Total_Roll</t>
  </si>
  <si>
    <t>If New_School and Property_Type is not Ministry owned = Rate * First_Students</t>
  </si>
  <si>
    <t>If New_School and Property_Type is not Ministry owned = Rate * Extra_Students</t>
  </si>
  <si>
    <t>If New_School  and Property_Type is not Ministry owned then = Rate * Total_Roll</t>
  </si>
  <si>
    <t>Depending on Property_Type = Rate * First_Students</t>
  </si>
  <si>
    <t>Depending on Property_Type = Rate * Extra_Student</t>
  </si>
  <si>
    <t>Select the appropriate type from the predefined list.Primary schools cover years 1 through 8, secondary schools encompass years 9 through 13, and composite schools include years 1 through 13.</t>
  </si>
  <si>
    <t>Additional info</t>
  </si>
  <si>
    <t>Estimated Full Year Entitlement</t>
  </si>
  <si>
    <t>Total Entitlement</t>
  </si>
  <si>
    <t>Count of Students by Year Level</t>
  </si>
  <si>
    <t>Year Level</t>
  </si>
  <si>
    <t>Orange Input Cells: For entering school-specific details.</t>
  </si>
  <si>
    <t>Input Option Tables</t>
  </si>
  <si>
    <t xml:space="preserve">Services </t>
  </si>
  <si>
    <t>Operations</t>
  </si>
  <si>
    <t>Senior Management Funding</t>
  </si>
  <si>
    <t>Funding for Remaining Staff</t>
  </si>
  <si>
    <t>Initial Fit-out</t>
  </si>
  <si>
    <t>Information Technology</t>
  </si>
  <si>
    <t>Further Information</t>
  </si>
  <si>
    <t>https://www.education.govt.nz/school/funding-and-financials/resourcing/operational-funding/operational-funding-components/</t>
  </si>
  <si>
    <t>Funding aimed at supporting schools which face socio-economic barriers that impact student achievement.</t>
  </si>
  <si>
    <t>We provide schools and kura with equity funding, in addition to their core funding, so they can work in different ways to reduce the impact socio-economic factors have on student achievement.</t>
  </si>
  <si>
    <t>https://www.education.govt.nz/school/funding-and-financials/resourcing/operational-funding/operational-funding-components/#inclusion</t>
  </si>
  <si>
    <t>Support for inclusion funding, which was previously called the special education grant, helps you to support students with moderate special education needs, such as learning and behaviour difficulties.</t>
  </si>
  <si>
    <t>The careers information grant assists with the provision of careers information and guidance for schools with Year 9 to 13+ students.</t>
  </si>
  <si>
    <t>If your school is in an isolated area, you may be eligible for additional operational funding called 'targeted funding for isolation'.
This funding helps schools whose isolation means that they have additional costs associated with accessing goods and services needed to operate their school and deliver the curriculum.
A new Isolation Index was implemented in January 2023.</t>
  </si>
  <si>
    <t>Operational funding for heat, light and water is for:
electricity (supply, capacity and line charges)
energy costs for sewage schemes and water supply (self-supply schools)
gas, reticulated and portable, including delivery and canister hire 
coal and wood, including delivery costs 
water supply rates.
A model was used to determine the per-pupil rate for Heat, Light and Water funding.</t>
  </si>
  <si>
    <t>For state schools, this is generated based on the number of teaching positions eligible for relief teacher funding. A model was used to determine the per-pupil rate for relief teacher funding.</t>
  </si>
  <si>
    <t>To reflect the additional resourcing state schools receive, a model was used to determine the per-pupil rate for the equivalent cashed-up funding.</t>
  </si>
  <si>
    <t>Staffing-based funding is provided as a per-student cash rate, calculated based on the estimated staffing entitlement for similar State schools, varying by school type. Under the agreed funding model, charter schools receive higher rates for the first 100 students in primary schools and the first 200 students in secondary and composite schools, reflecting the "base staffing." For any additional (extra) students—those beyond 100 in primary schools or beyond 200 in secondary and composite schools—a lower rate is applied.</t>
  </si>
  <si>
    <t>https://www.education.govt.nz/school/funding-and-financials/resourcing/operational-funding/operational-funding-components/#Perpupil</t>
  </si>
  <si>
    <t xml:space="preserve">We set 4 levels of per-pupil funding to recognise the cost of curriculum delivery at each level.
We calculate per-pupil funding using the number of students on a school's roll. Per-pupil rates are universal and apply to all schools.
</t>
  </si>
  <si>
    <t>Number of learners in Māori language Programmes by level</t>
  </si>
  <si>
    <t>Number of learners in Pacific language Programmes by level</t>
  </si>
  <si>
    <t>Enter the count of students enrolled in Māori Language Programmes by level.</t>
  </si>
  <si>
    <t>Enter the count of students enrolled in Pacific Language Programmes by level.</t>
  </si>
  <si>
    <t>Count of students in Māori Language Programmes by immersion level.</t>
  </si>
  <si>
    <t>Count of students in Pacific Language Programmes by immersion level.</t>
  </si>
  <si>
    <t>https://www.education.govt.nz/school/funding-and-financials/resourcing/operational-funding/operational-funding-components/#Pacificbilingual</t>
  </si>
  <si>
    <t>https://www.education.govt.nz/school/funding-and-financials/resourcing/operational-funding/operational-funding-components/#Vandalism</t>
  </si>
  <si>
    <t>https://www.charterschools.govt.nz/assets/Uploads/20240812-CSA-funding-factsheet.pdf</t>
  </si>
  <si>
    <t>https://www.education.govt.nz/school/funding-and-financials/resourcing/operational-funding/operational-funding-components/#Relief</t>
  </si>
  <si>
    <t>https://www.education.govt.nz/school/funding-and-financials/resourcing/operational-funding/operational-funding-components/#Heat</t>
  </si>
  <si>
    <t>https://www.education.govt.nz/our-work/changes-in-education/equity-index/how-the-equity-index-applies-to-funding/</t>
  </si>
  <si>
    <t>https://www.education.govt.nz/school/funding-and-financials/resourcing/operational-funding/operational-funding-components/#Careers</t>
  </si>
  <si>
    <t>https://www.education.govt.nz/school/funding-and-financials/resourcing/operational-funding/operational-funding-components/#ICT</t>
  </si>
  <si>
    <t>https://www.education.govt.nz/school/funding-and-financials/resourcing/operational-funding/operational-funding-components/#Isolation</t>
  </si>
  <si>
    <t>https://www.education.govt.nz/school/funding-and-financials/resourcing/operational-funding/operational-funding-components/#Kiwisport</t>
  </si>
  <si>
    <t xml:space="preserve">KiwiSport is a Government funding initiative that promotes sport and aims to increase opportunities for school-aged students to participate in organised sport.
KiwiSport provides funding for schools with Year 1 to 8 and Year 9 to 13 students.
</t>
  </si>
  <si>
    <t>This funding is for students enrolled in Māori language programmes that meet all the criteria for 1 of 4 immersion levels.</t>
  </si>
  <si>
    <t>Although Māori language programmes have 6 levels that may be reported in your roll returns, only students enrolled in Levels 1 to 4 (including 4a and 4b) generate funding.
Visit our operational funding rates page for Māori language programme funding rates.</t>
  </si>
  <si>
    <t>schools with an EQI of 432 or higher can choose to receive a per-student payment per year if they agree not to ask parents and caregivers for donations (except for overnight camps).</t>
  </si>
  <si>
    <t>If Included in Donations Scheme (EQI has to be greater than 431), Rate * Total_Roll</t>
  </si>
  <si>
    <t>Set to True if the school is included in the Donations Scheme. EQI has to be higher than 431 to be eligible for the scheme.</t>
  </si>
  <si>
    <t>This funding is for students enrolled in Pacific language programmes that meet all the criteria for Level 1 or Level 2 immersion levels.</t>
  </si>
  <si>
    <t>Although Pacific language programmes have 4 levels that may be reported in your roll returns, only students enrolled in Levels 1 or 2 generate funding.
Visit our operational funding rates page for Pacific bilingual and immersion programme funding rates.</t>
  </si>
  <si>
    <t>https://www.education.govt.nz/school/funding-and-financials/resourcing/operational-funding/operational-funding-components/#star</t>
  </si>
  <si>
    <t>Risk management scheme that schools can pay to join.</t>
  </si>
  <si>
    <t>Our risk management scheme is a non-profit scheme that offers comprehensive contents, liability and cyber insurance for your school. 
Your school  can choose to insure with a private insurance company or join this scheme.
All school assets, other than land and buildings owned by the Crown, must be insured.</t>
  </si>
  <si>
    <t>https://www.education.govt.nz/school/funding-and-financials/funding/vandalism-funding/</t>
  </si>
  <si>
    <t>https://www.education.govt.nz/school/funding-and-financials/resourcing/non-teaching-staff-settlements-and-funding/</t>
  </si>
  <si>
    <t>The equivalent per-pupil funding rate was modelled based on actual funding to State schools.</t>
  </si>
  <si>
    <t>Schools are funded additional increases to their operational grants to meet the cost of non-teaching staff pay increases.</t>
  </si>
  <si>
    <t>Per-student funding rate based on cost of services for State schools.</t>
  </si>
  <si>
    <t>Cashed-up equivalent for nationally provided PLD opportunities provided for improved quality teaching and learning, support and resources for teachers, curriculum support and professional development and support.</t>
  </si>
  <si>
    <t>Cashed-up equivalent to digital software, network infrastructure, support systems, digital content and resources, cyber security measures and infrastructure management tools.</t>
  </si>
  <si>
    <t>Broadly equivalent per-pupil funding with State Schools. Covers the three parts of the operational component for establishment funding: Administration grant, Library/Resource Centre grant and Learning and Teaching grant.</t>
  </si>
  <si>
    <t>Funding is provided for senior staff broadly equivalent to what is funded for state schools for 2024 Q3.</t>
  </si>
  <si>
    <t>State schools are entitled to teaching staff for the quarter prior to opening. Broadly equivalent entitlement has been cashed-up to allow Charter schools equivalent entitlement.</t>
  </si>
  <si>
    <t>New State schools receive initial furniture and equipment funding based on the net areas of their “standard” and “specialised” spaces. Estimates were made of the space make-up of new charter schools, and a model was fit to calculate broadly equivalent funding.</t>
  </si>
  <si>
    <t>New state schools receive establishment ICT funding to purchase ICT equipment such as servers, wireless access points, printers, and monitors. As in state schools, this funding would be provided to charter schools at a flat per-student rate, not a stepped rate.</t>
  </si>
  <si>
    <t>If New_School and School_Type is Secondary or Composite = Rate * the first 200 of Total_Roll</t>
  </si>
  <si>
    <t>https://www.education.govt.nz/school/funding-and-financials/funding/property-maintenance-grant/#:~:text=The%20property%20maintenance%20grant%20is,along%20with%20your%20operational%20funding.</t>
  </si>
  <si>
    <t>Funding to pay for maintenance of property. Funding doesn't cover capital work or operational non-property expenses.</t>
  </si>
  <si>
    <t>A model was fit based on actual funding of State schools, giving rates for the different school types and first and additional students.</t>
  </si>
  <si>
    <t xml:space="preserve">Funding for the renewal of furniture and equipment. </t>
  </si>
  <si>
    <t>https://www.education.govt.nz/school/funding-and-financials/funding/furniture-and-equipment-funding-for-schools/</t>
  </si>
  <si>
    <t>Funding for capital maintenance for schools on Ministry or sponsor-owned property or lease-based funding for schools on property leased from a landlord.</t>
  </si>
  <si>
    <t>Capital Maintenance &amp; Lease Based Funding Rates</t>
  </si>
  <si>
    <t>Capital maintenance and Lease-based funding is determined by the Property Type of the school, whether the property is Ministry owned, sponsor owned or leased from a landlord. Capital maintenance funding to school on Ministry property were modeled on existing capital maintenance funding to state schools. Capital maintenance funding to schools on sponsor owned property has been set to the existing per student rate as to the proprietors of state integrated schools (note the 2025 rate will be published at the end of November, so the 2024 rate is currently used). For schools on leased property, the rate was modeled on the notional lease of state school properties against their school rolls.</t>
  </si>
  <si>
    <t>https://www.education.govt.nz/school/funding-and-financials/funding/capital-funding-for-integrated-schools/#:~:text=Paying%20for%20capital%20work%20at,capital%20maintenance%20and%20modernisation%20projects.</t>
  </si>
  <si>
    <t>Capital Maintenance and leased-based funding*</t>
  </si>
  <si>
    <t xml:space="preserve">* For schools on Ministry-owned property, a minimum of 70% must be spent on capital maintenance </t>
  </si>
  <si>
    <t>Service / programme</t>
  </si>
  <si>
    <t>Grouping</t>
  </si>
  <si>
    <t xml:space="preserve">CASHED UP SERVICES </t>
  </si>
  <si>
    <t>Payroll services</t>
  </si>
  <si>
    <t xml:space="preserve">Payroll </t>
  </si>
  <si>
    <t xml:space="preserve">Principals Development and support - online modules </t>
  </si>
  <si>
    <t xml:space="preserve">Professional Learning and Development </t>
  </si>
  <si>
    <t xml:space="preserve">Provisionally Certificated and Overseas Trained Teachers Support (PRT/OTT) - CORE </t>
  </si>
  <si>
    <t>Provisionally Certificated and Overseas Trained Teachers Support (PRT/OTT) - Otago uni</t>
  </si>
  <si>
    <t xml:space="preserve">PLD (General) Manaiakalani Education Trust Outreach programme </t>
  </si>
  <si>
    <t>Principals Development and support - Leadership Advisors Beginning Principals - Evaluation Associates</t>
  </si>
  <si>
    <t xml:space="preserve">Principals Development and support - guided and targeted supports </t>
  </si>
  <si>
    <t xml:space="preserve">Licensing agreement (Google) </t>
  </si>
  <si>
    <t xml:space="preserve">Digital </t>
  </si>
  <si>
    <t xml:space="preserve">Licensing agreement (Microsoft) </t>
  </si>
  <si>
    <t xml:space="preserve">Laptops for teachers and principals (TELA) </t>
  </si>
  <si>
    <t xml:space="preserve">N4L (Managed Network for schools) </t>
  </si>
  <si>
    <t>Ministry will provide schools vandalism risk rating</t>
  </si>
  <si>
    <t>Vandalism Risk</t>
  </si>
  <si>
    <t>Inclusion in Risk Management Scheme</t>
  </si>
  <si>
    <t>Inclusion in Donations Scheme</t>
  </si>
  <si>
    <t>School Roll By Year Level</t>
  </si>
  <si>
    <t>[Primary, Secondary, Composite]</t>
  </si>
  <si>
    <t>https://parents.education.govt.nz/primary-school/schooling-in-nz/different-types-of-primary-and-intermediate-schools/</t>
  </si>
  <si>
    <t>2025 Calendar year (inclusive of Entitlement funding where applicable)</t>
  </si>
  <si>
    <t>Salaries Funding for the first 100 Primary students or first 200 for Secondary/Composite.</t>
  </si>
  <si>
    <t>Salaries Funding for additional students above the first 100 (Primary) or 200 (Secondary and Composite).</t>
  </si>
  <si>
    <t>Salaries Funding for Pacific Immersion.</t>
  </si>
  <si>
    <t>Salaries Funding for Māori Immersion.</t>
  </si>
  <si>
    <t>Funding to support with the costs of power, fuel and water.</t>
  </si>
  <si>
    <t>Funding to schools to support students with moderate education needs.</t>
  </si>
  <si>
    <t>Funding to support year 9+ students.</t>
  </si>
  <si>
    <t>ICT funding to support hard/software.</t>
  </si>
  <si>
    <t>Support for costs assocaited with isolation.</t>
  </si>
  <si>
    <t>Operations funding based on year levels of students.</t>
  </si>
  <si>
    <t>Funding to support and promote sports.</t>
  </si>
  <si>
    <t>Funding to schools that opt into the scheme (that choose not to receive donations).</t>
  </si>
  <si>
    <t>Funding to fit-out new schools with furniture and equipment.</t>
  </si>
  <si>
    <t>Funding for new Information Technology.</t>
  </si>
  <si>
    <t>Base funding to assist with the fixed costs associated with the operation of a school.</t>
  </si>
  <si>
    <t>Funding to help with the payment of salaries and allowances for relief teachers.</t>
  </si>
  <si>
    <t xml:space="preserve">Māori Language Programme </t>
  </si>
  <si>
    <t>Secondary-tertiary alignment resource (STAR) funding. Used to support year 11-13 students through accessing courses and career-related experiences.</t>
  </si>
  <si>
    <t>Funding included each year in your operational funding to repair damage caused by vandalism.</t>
  </si>
  <si>
    <t>Cashed-up equivalent to payroll services that are received by state schools.</t>
  </si>
  <si>
    <t>For Q4 2024: staffing broadly equivalent to what a State schools would receive is cashed-up, this includes both senior staffing and regular teachers.</t>
  </si>
  <si>
    <t>Funding to meet general fit-out costs for new schools.</t>
  </si>
  <si>
    <t>To reflect the additional resourcing state schools receive, a model was used to determine the per-pupil rate for the equivalent cashed-up funding. Note that this is based on the number of Māori immersion students.</t>
  </si>
  <si>
    <t>To reflect the additional resourcing state schools receive, a model was used to determine the per-pupil rate for the equivalent cashed-up funding. Note that this is based on the number of Pacific immersion students.</t>
  </si>
  <si>
    <t>Information and communication technology (ICT) funding to help schools buy hardware and software.</t>
  </si>
  <si>
    <t>Note: this is based on the existing 2024 rate. The 2025 rate will be published later in the year.
STAR funding is a capped resource available to schools with Year 11 to 13+ students.
STAR funding is based on STAR funding units, which we allocate to eligible schools. Our initial STAR funding estimate uses your school's provisional resourcing roll, (excluding adult students) for Years 11, 12 and 13+.
We calculate STAR funding units quarterly according to our quarterly roll count policy.
Each Year 11, 12 and 13+ student generates one STAR unit. Teen parent units will be weighted at 1.5 units per student.
If your school has less than 30 units, then we allocate your STAR funding at the rate per unit listed in the operational funding rates.
If your school has more than 30 units, we allocate your first 30 units using the base rate and the remainder using the additional STAR funding unit rate.</t>
  </si>
  <si>
    <t>The amount paid to your school is calculated in categories based on the number of pupils and the risk of vandalism in your area (determined by previous vandalism costs).</t>
  </si>
  <si>
    <t>The base and per-pupil funidng components of the Operational component of establishment grants has been converted into per-pupil rates.</t>
  </si>
  <si>
    <t>Establishment staffing allows for roles to be employed prior to the scshool starting in order to prepare for opening. Funding is cashed-up for broadly equivalent roles that are funded at State schools. The roles cashed-up include; Principal, Senior Management and Senior heads of Department (only applicable for secondary and composite schools).</t>
  </si>
  <si>
    <t xml:space="preserve">For 2025 the rates for fitout are set at half the annual notional lease-based funding rates, with respect to schools in a “General” area (ie not a major urban area) in the school year before the school opens. This is broadly equivalent to the fit-out funding for a new state (non-integrated) school. The rates would apply to any new charter school. </t>
  </si>
  <si>
    <t xml:space="preserve">Funding has been determined as a percentage of Year 1 capital maintenance funding (20% of full capital maintenance funding for a charter school on Ministry property). </t>
  </si>
  <si>
    <t>Figures are provisional and subject to change</t>
  </si>
  <si>
    <t>Charter School Funding Entitlements Calculator (2025)</t>
  </si>
  <si>
    <t>Purpose</t>
  </si>
  <si>
    <t>Some decisions regarding the roll basis of funding are still pending. For further details on how roll returns affect state school funding, visit the Ministry of Education website.</t>
  </si>
  <si>
    <t>These figures are provisional and should only be considered indicative. They do not imply any guarantee of funding. Refer to the Charter School Agency website for the latest information.</t>
  </si>
  <si>
    <t>Methodology / Modelling Logic</t>
  </si>
  <si>
    <t>Guide</t>
  </si>
  <si>
    <t>Worksheets Overview</t>
  </si>
  <si>
    <t>The calculator consists of three main worksheets:</t>
  </si>
  <si>
    <t>1. Input</t>
  </si>
  <si>
    <t>This worksheet includes two sections:</t>
  </si>
  <si>
    <t>Some cells have defined parameters (e.g., EQI values within a specific range), TRUE/FALSE options, and dropdown lists.</t>
  </si>
  <si>
    <t>2. Output</t>
  </si>
  <si>
    <t>This worksheet also includes two sections:</t>
  </si>
  <si>
    <t>3. Services</t>
  </si>
  <si>
    <r>
      <t xml:space="preserve">This calculator has been developed for the Charter School Agency to estimate Charter School funding entitlements for the 2025 calendar year. </t>
    </r>
    <r>
      <rPr>
        <b/>
        <sz val="11"/>
        <color theme="1"/>
        <rFont val="Calibri"/>
        <family val="2"/>
        <scheme val="minor"/>
      </rPr>
      <t>It is not intended for use in determining actual payments</t>
    </r>
    <r>
      <rPr>
        <sz val="11"/>
        <color theme="1"/>
        <rFont val="Calibri"/>
        <family val="2"/>
        <scheme val="minor"/>
      </rPr>
      <t xml:space="preserve"> or providing any form of </t>
    </r>
    <r>
      <rPr>
        <b/>
        <sz val="11"/>
        <color theme="1"/>
        <rFont val="Calibri"/>
        <family val="2"/>
        <scheme val="minor"/>
      </rPr>
      <t>guarantee of funding</t>
    </r>
    <r>
      <rPr>
        <sz val="11"/>
        <color theme="1"/>
        <rFont val="Calibri"/>
        <family val="2"/>
        <scheme val="minor"/>
      </rPr>
      <t>.</t>
    </r>
  </si>
  <si>
    <r>
      <t xml:space="preserve">Note: Key details, such as the capital maintenance funding rate for schools on sponsor-owned property, will be updated in </t>
    </r>
    <r>
      <rPr>
        <b/>
        <sz val="11"/>
        <color theme="1"/>
        <rFont val="Calibri"/>
        <family val="2"/>
        <scheme val="minor"/>
      </rPr>
      <t>November</t>
    </r>
    <r>
      <rPr>
        <sz val="11"/>
        <color theme="1"/>
        <rFont val="Calibri"/>
        <family val="2"/>
        <scheme val="minor"/>
      </rPr>
      <t>.</t>
    </r>
  </si>
  <si>
    <t>How operational funding is calculated – resourcing rolls – Education in New Zealand</t>
  </si>
  <si>
    <t>Information for sponsors and schools :: Charter Schools | Kura Hourua</t>
  </si>
  <si>
    <r>
      <t>School Details:</t>
    </r>
    <r>
      <rPr>
        <sz val="11"/>
        <color theme="1"/>
        <rFont val="Calibri"/>
        <family val="2"/>
        <scheme val="minor"/>
      </rPr>
      <t xml:space="preserve"> Users input school details in the designated </t>
    </r>
    <r>
      <rPr>
        <b/>
        <sz val="11"/>
        <color theme="1"/>
        <rFont val="Calibri"/>
        <family val="2"/>
        <scheme val="minor"/>
      </rPr>
      <t>orange cells</t>
    </r>
    <r>
      <rPr>
        <sz val="11"/>
        <color theme="1"/>
        <rFont val="Calibri"/>
        <family val="2"/>
        <scheme val="minor"/>
      </rPr>
      <t>.</t>
    </r>
  </si>
  <si>
    <r>
      <t>Data Dictionary: P</t>
    </r>
    <r>
      <rPr>
        <sz val="11"/>
        <color theme="1"/>
        <rFont val="Calibri"/>
        <family val="2"/>
        <scheme val="minor"/>
      </rPr>
      <t>rovides detailed explanations of all input variables.</t>
    </r>
  </si>
  <si>
    <r>
      <t>Estimated Full Year Entitlement:</t>
    </r>
    <r>
      <rPr>
        <sz val="11"/>
        <color theme="1"/>
        <rFont val="Calibri"/>
        <family val="2"/>
        <scheme val="minor"/>
      </rPr>
      <t xml:space="preserve"> Displays the estimated </t>
    </r>
    <r>
      <rPr>
        <b/>
        <sz val="11"/>
        <color theme="1"/>
        <rFont val="Calibri"/>
        <family val="2"/>
        <scheme val="minor"/>
      </rPr>
      <t>2025 calendar year funding</t>
    </r>
    <r>
      <rPr>
        <sz val="11"/>
        <color theme="1"/>
        <rFont val="Calibri"/>
        <family val="2"/>
        <scheme val="minor"/>
      </rPr>
      <t>, calculated based on the input variables.</t>
    </r>
  </si>
  <si>
    <r>
      <t xml:space="preserve">Data Dictionary: </t>
    </r>
    <r>
      <rPr>
        <sz val="11"/>
        <color theme="1"/>
        <rFont val="Calibri"/>
        <family val="2"/>
        <scheme val="minor"/>
      </rPr>
      <t>Explains each sub-component of the funding model.</t>
    </r>
  </si>
  <si>
    <t xml:space="preserve">The calculator uses the most current funding formulas and rates, reflecting the latest approved updates. These rates are aligned with the most recent information available. </t>
  </si>
  <si>
    <r>
      <t>CASHED UP SERVICES:</t>
    </r>
    <r>
      <rPr>
        <sz val="11"/>
        <color theme="1"/>
        <rFont val="Calibri"/>
        <family val="2"/>
        <scheme val="minor"/>
      </rPr>
      <t xml:space="preserve"> Includes all nationally available services that are being "cashed-up" and included in the </t>
    </r>
    <r>
      <rPr>
        <b/>
        <sz val="11"/>
        <color theme="1"/>
        <rFont val="Calibri"/>
        <family val="2"/>
        <scheme val="minor"/>
      </rPr>
      <t>Services</t>
    </r>
    <r>
      <rPr>
        <sz val="11"/>
        <color theme="1"/>
        <rFont val="Calibri"/>
        <family val="2"/>
        <scheme val="minor"/>
      </rPr>
      <t xml:space="preserve"> component of the </t>
    </r>
    <r>
      <rPr>
        <b/>
        <sz val="11"/>
        <color theme="1"/>
        <rFont val="Calibri"/>
        <family val="2"/>
        <scheme val="minor"/>
      </rPr>
      <t>Output</t>
    </r>
    <r>
      <rPr>
        <sz val="11"/>
        <color theme="1"/>
        <rFont val="Calibri"/>
        <family val="2"/>
        <scheme val="minor"/>
      </rPr>
      <t xml:space="preserve"> worksheet.</t>
    </r>
    <r>
      <rPr>
        <b/>
        <sz val="11"/>
        <color theme="1"/>
        <rFont val="Calibri"/>
        <family val="2"/>
        <scheme val="minor"/>
      </rPr>
      <t xml:space="preserve"> </t>
    </r>
  </si>
  <si>
    <t>Current Description</t>
  </si>
  <si>
    <t xml:space="preserve">All inclusive cost for Payroll services including technology maintenance and improvements.  It does not include Ministry-run remediation programme which is not a service provided to schools. </t>
  </si>
  <si>
    <t xml:space="preserve">This service provides online modules for aspiring and beginning principals to learn about core functions, skills, and knowledge requried to be an effective principal </t>
  </si>
  <si>
    <t xml:space="preserve">The PCC OTT support for mentor contract aims to provide participants with the appropriate supports to assist with gaining full certification and making a successful start to their teaching career in New Zealand </t>
  </si>
  <si>
    <t xml:space="preserve">The PCT OTT suport for mentor contract aims to provide participants with the appropriate supports to assist with gaining full certification and making a successful start to their teaching career in New Zealand </t>
  </si>
  <si>
    <t>A PLD Support that is delivered in person and online. It is aligned to the curriculum change programme through the Programme's Reading Intensive Practice, and Digital Fluency Intensive components and a maths intensive practice pilot that will be fully implemented from 2024</t>
  </si>
  <si>
    <t xml:space="preserve">Provides guidance and targeted support to principals in the first 2-3 years of their time in the role </t>
  </si>
  <si>
    <t xml:space="preserve">For aspiring and beginning principals to learn about core functions, skills and knowledge required to be an effective principal </t>
  </si>
  <si>
    <t xml:space="preserve">Provide schools with software licences </t>
  </si>
  <si>
    <t xml:space="preserve">Provide schools with software licences that include the Microsoft 365, windows operating system and minecraft </t>
  </si>
  <si>
    <t xml:space="preserve">TELA+ is a digital device leasing scheme for eligible teaching staff in state and state-integrated schools </t>
  </si>
  <si>
    <t xml:space="preserve">N4L encourages all schools and kura with a N4L Managed Network connection to use our safe and secure internet service with our recommended settings to provide students with a baseline level of protection while learning online at school. </t>
  </si>
  <si>
    <t>This worksheet contains the following table:</t>
  </si>
  <si>
    <t>Some cells in the calculator have been prepopulated with specific values due to the restrictions of the calculator. These must be replaced with the information relevant to your proposed school. The prepopulated values are not specific to your project and should be updated with your own data.</t>
  </si>
  <si>
    <t>Year 1</t>
  </si>
  <si>
    <t>Year 2</t>
  </si>
  <si>
    <t>Year 3</t>
  </si>
  <si>
    <t>Year 4</t>
  </si>
  <si>
    <t>Year 5</t>
  </si>
  <si>
    <t>Year 6</t>
  </si>
  <si>
    <t>Year 7</t>
  </si>
  <si>
    <t>Year 8</t>
  </si>
  <si>
    <t>Year 9</t>
  </si>
  <si>
    <t>Year 10</t>
  </si>
  <si>
    <t>Year 11</t>
  </si>
  <si>
    <t>Year 12</t>
  </si>
  <si>
    <t>Year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</si>
</sst>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Red]\-&quot;$&quot;#,##0.00"/>
    <numFmt numFmtId="44" formatCode="_-&quot;$&quot;* #,##0.00_-;\-&quot;$&quot;* #,##0.00_-;_-&quot;$&quot;* &quot;-&quot;??_-;_-@_-"/>
    <numFmt numFmtId="43" formatCode="_-* #,##0.00_-;\-* #,##0.00_-;_-* &quot;-&quot;??_-;_-@_-"/>
    <numFmt numFmtId="164" formatCode="_-* #,##0_-;\-* #,##0_-;_-* &quot;-&quot;??_-;_-@_-"/>
    <numFmt numFmtId="165" formatCode="#######0"/>
    <numFmt numFmtId="166" formatCode="&quot;$&quot;#,##0.00"/>
    <numFmt numFmtId="167" formatCode="&quot;$&quot;#,##0"/>
    <numFmt numFmtId="168" formatCode="_(&quot;$&quot;* #,##0.00_);[Red]_(&quot;$&quot;* \(#,##0.00\);_(&quot;$&quot;* &quot;-&quot;??_);_(@_)"/>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i/>
      <sz val="11"/>
      <color rgb="FF7F7F7F"/>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4"/>
      <name val="Calibri"/>
      <family val="2"/>
      <scheme val="minor"/>
    </font>
    <font>
      <sz val="11"/>
      <color theme="8"/>
      <name val="Calibri"/>
      <family val="2"/>
      <scheme val="minor"/>
    </font>
    <font>
      <u/>
      <sz val="11"/>
      <color theme="10"/>
      <name val="Calibri"/>
      <family val="2"/>
      <scheme val="minor"/>
    </font>
    <font>
      <b/>
      <sz val="14"/>
      <color theme="1"/>
      <name val="Calibri"/>
      <family val="2"/>
      <scheme val="minor"/>
    </font>
    <font>
      <sz val="11"/>
      <color theme="5"/>
      <name val="Calibri"/>
      <family val="2"/>
      <scheme val="minor"/>
    </font>
    <font>
      <sz val="11"/>
      <color theme="9"/>
      <name val="Calibri"/>
      <family val="2"/>
      <scheme val="minor"/>
    </font>
    <font>
      <b/>
      <sz val="11"/>
      <name val="Calibri"/>
      <family val="2"/>
      <scheme val="minor"/>
    </font>
    <font>
      <sz val="11"/>
      <color theme="0"/>
      <name val="Calibri"/>
      <family val="2"/>
      <scheme val="minor"/>
    </font>
    <font>
      <sz val="11"/>
      <color rgb="FF000000"/>
      <name val="Calibri"/>
      <family val="2"/>
    </font>
    <font>
      <b/>
      <sz val="11"/>
      <color theme="0"/>
      <name val="Calibri"/>
      <family val="2"/>
      <scheme val="minor"/>
    </font>
    <font>
      <b/>
      <sz val="10"/>
      <color theme="1"/>
      <name val="Calibri"/>
      <family val="2"/>
    </font>
    <font>
      <b/>
      <sz val="10"/>
      <color theme="1"/>
      <name val="Calibri"/>
      <family val="2"/>
      <scheme val="minor"/>
    </font>
    <font>
      <sz val="10"/>
      <color theme="1"/>
      <name val="Calibri"/>
      <family val="2"/>
      <scheme val="minor"/>
    </font>
    <font>
      <b/>
      <sz val="11"/>
      <color theme="8"/>
      <name val="Calibri"/>
      <family val="2"/>
      <scheme val="minor"/>
    </font>
    <font>
      <b/>
      <sz val="11"/>
      <color theme="5"/>
      <name val="Calibri"/>
      <family val="2"/>
      <scheme val="minor"/>
    </font>
    <font>
      <sz val="8"/>
      <name val="Calibri"/>
      <family val="2"/>
      <scheme val="minor"/>
    </font>
    <font>
      <sz val="14"/>
      <color theme="1"/>
      <name val="Calibri"/>
      <family val="2"/>
      <scheme val="minor"/>
    </font>
    <font>
      <sz val="10"/>
      <color theme="4"/>
      <name val="Arial"/>
      <family val="2"/>
    </font>
    <font>
      <i/>
      <sz val="11"/>
      <color theme="0" tint="-0.499984740745262"/>
      <name val="Calibri"/>
      <family val="2"/>
      <scheme val="minor"/>
    </font>
    <font>
      <i/>
      <sz val="11"/>
      <color theme="1"/>
      <name val="Calibri"/>
      <family val="2"/>
      <scheme val="minor"/>
    </font>
    <font>
      <i/>
      <sz val="10"/>
      <color rgb="FF231F20"/>
      <name val="Arial"/>
      <family val="2"/>
    </font>
    <font>
      <sz val="11"/>
      <color theme="0"/>
      <name val="Calibri"/>
      <family val="2"/>
    </font>
    <font>
      <b/>
      <sz val="14"/>
      <color theme="0"/>
      <name val="Calibri"/>
      <family val="2"/>
      <scheme val="minor"/>
    </font>
    <font>
      <b/>
      <sz val="14"/>
      <name val="Calibri"/>
      <family val="2"/>
      <scheme val="minor"/>
    </font>
    <font>
      <b/>
      <sz val="28"/>
      <color theme="6" tint="-0.499984740745262"/>
      <name val="Calibri"/>
      <family val="2"/>
      <scheme val="minor"/>
    </font>
    <font>
      <b/>
      <i/>
      <sz val="11"/>
      <name val="Calibri"/>
      <family val="2"/>
      <scheme val="minor"/>
    </font>
    <font>
      <sz val="11"/>
      <color theme="6" tint="-0.499984740745262"/>
      <name val="Calibri"/>
      <family val="2"/>
      <scheme val="minor"/>
    </font>
    <font>
      <b/>
      <u/>
      <sz val="11"/>
      <color theme="1"/>
      <name val="Arial"/>
      <family val="2"/>
    </font>
    <font>
      <sz val="11"/>
      <color theme="1"/>
      <name val="Arial"/>
      <family val="2"/>
    </font>
    <font>
      <b/>
      <sz val="11"/>
      <color theme="0"/>
      <name val="Arial"/>
      <family val="2"/>
    </font>
    <font>
      <sz val="10"/>
      <color theme="1"/>
      <name val="Arial"/>
      <family val="2"/>
    </font>
    <font>
      <b/>
      <sz val="22"/>
      <color theme="6" tint="-0.499984740745262"/>
      <name val="Calibri"/>
      <family val="2"/>
      <scheme val="minor"/>
    </font>
    <font>
      <b/>
      <sz val="18"/>
      <color theme="1"/>
      <name val="Calibri"/>
      <family val="2"/>
      <scheme val="minor"/>
    </font>
    <font>
      <b/>
      <sz val="13.5"/>
      <color theme="1"/>
      <name val="Calibri"/>
      <family val="2"/>
      <scheme val="minor"/>
    </font>
  </fonts>
  <fills count="24">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0"/>
        <bgColor theme="4"/>
      </patternFill>
    </fill>
    <fill>
      <patternFill patternType="solid">
        <fgColor theme="0"/>
        <bgColor theme="4" tint="0.79998168889431442"/>
      </patternFill>
    </fill>
    <fill>
      <patternFill patternType="solid">
        <fgColor rgb="FF92D050"/>
        <bgColor indexed="64"/>
      </patternFill>
    </fill>
    <fill>
      <patternFill patternType="solid">
        <fgColor theme="0" tint="-4.9989318521683403E-2"/>
        <bgColor indexed="64"/>
      </patternFill>
    </fill>
    <fill>
      <patternFill patternType="solid">
        <fgColor theme="7" tint="-9.9978637043366805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bgColor theme="1"/>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002060"/>
        <bgColor indexed="64"/>
      </patternFill>
    </fill>
  </fills>
  <borders count="6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double">
        <color rgb="FFFF0000"/>
      </left>
      <right style="double">
        <color rgb="FFFF0000"/>
      </right>
      <top style="double">
        <color rgb="FFFF0000"/>
      </top>
      <bottom style="double">
        <color rgb="FFFF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
      <left/>
      <right style="thin">
        <color theme="1"/>
      </right>
      <top style="thin">
        <color theme="1"/>
      </top>
      <bottom/>
      <diagonal/>
    </border>
    <border>
      <left/>
      <right/>
      <top style="thin">
        <color theme="1"/>
      </top>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style="thin">
        <color theme="6" tint="0.59999389629810485"/>
      </right>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style="thin">
        <color theme="6" tint="0.59999389629810485"/>
      </left>
      <right style="thin">
        <color theme="6" tint="0.59999389629810485"/>
      </right>
      <top style="thin">
        <color theme="6" tint="0.59999389629810485"/>
      </top>
      <bottom/>
      <diagonal/>
    </border>
    <border>
      <left style="medium">
        <color theme="6" tint="0.59999389629810485"/>
      </left>
      <right style="medium">
        <color theme="6" tint="0.59999389629810485"/>
      </right>
      <top style="medium">
        <color theme="6" tint="0.59999389629810485"/>
      </top>
      <bottom style="medium">
        <color theme="6" tint="0.59999389629810485"/>
      </bottom>
      <diagonal/>
    </border>
    <border>
      <left style="thin">
        <color theme="6" tint="0.59999389629810485"/>
      </left>
      <right style="thin">
        <color theme="6" tint="0.59999389629810485"/>
      </right>
      <top/>
      <bottom/>
      <diagonal/>
    </border>
    <border>
      <left style="medium">
        <color theme="6" tint="0.59999389629810485"/>
      </left>
      <right/>
      <top style="medium">
        <color theme="6" tint="0.59999389629810485"/>
      </top>
      <bottom style="medium">
        <color theme="6" tint="0.59999389629810485"/>
      </bottom>
      <diagonal/>
    </border>
    <border>
      <left/>
      <right style="medium">
        <color theme="6" tint="0.59999389629810485"/>
      </right>
      <top style="medium">
        <color theme="6" tint="0.59999389629810485"/>
      </top>
      <bottom style="medium">
        <color theme="6" tint="0.59999389629810485"/>
      </bottom>
      <diagonal/>
    </border>
    <border>
      <left style="medium">
        <color theme="6" tint="0.59999389629810485"/>
      </left>
      <right/>
      <top style="medium">
        <color theme="6" tint="0.59999389629810485"/>
      </top>
      <bottom/>
      <diagonal/>
    </border>
    <border>
      <left/>
      <right style="medium">
        <color theme="6" tint="0.59999389629810485"/>
      </right>
      <top style="medium">
        <color theme="6" tint="0.59999389629810485"/>
      </top>
      <bottom/>
      <diagonal/>
    </border>
    <border>
      <left style="medium">
        <color theme="6" tint="0.59999389629810485"/>
      </left>
      <right/>
      <top/>
      <bottom style="medium">
        <color theme="6" tint="0.59999389629810485"/>
      </bottom>
      <diagonal/>
    </border>
    <border>
      <left/>
      <right style="medium">
        <color theme="6" tint="0.59999389629810485"/>
      </right>
      <top/>
      <bottom style="medium">
        <color theme="6" tint="0.59999389629810485"/>
      </bottom>
      <diagonal/>
    </border>
    <border>
      <left style="medium">
        <color theme="6" tint="0.59999389629810485"/>
      </left>
      <right style="medium">
        <color theme="6" tint="0.59999389629810485"/>
      </right>
      <top style="medium">
        <color theme="6" tint="0.59999389629810485"/>
      </top>
      <bottom/>
      <diagonal/>
    </border>
    <border>
      <left style="medium">
        <color theme="6" tint="0.59999389629810485"/>
      </left>
      <right style="medium">
        <color theme="6" tint="0.59999389629810485"/>
      </right>
      <top/>
      <bottom/>
      <diagonal/>
    </border>
    <border>
      <left style="medium">
        <color theme="6" tint="0.59999389629810485"/>
      </left>
      <right style="medium">
        <color theme="6" tint="0.59999389629810485"/>
      </right>
      <top/>
      <bottom style="medium">
        <color theme="6" tint="0.59999389629810485"/>
      </bottom>
      <diagonal/>
    </border>
    <border>
      <left style="medium">
        <color theme="6" tint="0.59999389629810485"/>
      </left>
      <right style="medium">
        <color theme="6" tint="0.59999389629810485"/>
      </right>
      <top style="medium">
        <color theme="6" tint="0.59999389629810485"/>
      </top>
      <bottom style="thin">
        <color theme="4" tint="0.39997558519241921"/>
      </bottom>
      <diagonal/>
    </border>
    <border>
      <left/>
      <right style="medium">
        <color theme="6" tint="0.59999389629810485"/>
      </right>
      <top style="medium">
        <color theme="6" tint="0.59999389629810485"/>
      </top>
      <bottom style="thin">
        <color theme="4" tint="0.3999755851924192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s>
  <cellStyleXfs count="15">
    <xf numFmtId="0" fontId="0" fillId="0" borderId="0"/>
    <xf numFmtId="0" fontId="2" fillId="0" borderId="0" applyNumberFormat="0" applyFill="0" applyBorder="0" applyAlignment="0" applyProtection="0"/>
    <xf numFmtId="0" fontId="3" fillId="0" borderId="1" applyNumberFormat="0" applyFill="0" applyAlignment="0" applyProtection="0"/>
    <xf numFmtId="0" fontId="12" fillId="2" borderId="2" applyNumberFormat="0" applyAlignment="0" applyProtection="0"/>
    <xf numFmtId="0" fontId="6" fillId="4" borderId="3" applyNumberFormat="0" applyAlignment="0" applyProtection="0"/>
    <xf numFmtId="0" fontId="7" fillId="0" borderId="0" applyNumberFormat="0" applyAlignment="0" applyProtection="0"/>
    <xf numFmtId="0" fontId="4" fillId="0" borderId="0" applyNumberFormat="0" applyFill="0" applyBorder="0" applyAlignment="0" applyProtection="0"/>
    <xf numFmtId="43" fontId="1" fillId="0" borderId="0" applyFont="0" applyFill="0" applyBorder="0" applyAlignment="0" applyProtection="0"/>
    <xf numFmtId="0" fontId="9" fillId="0" borderId="0" applyNumberFormat="0" applyAlignment="0" applyProtection="0"/>
    <xf numFmtId="0" fontId="5" fillId="0" borderId="6" applyNumberFormat="0" applyAlignment="0" applyProtection="0"/>
    <xf numFmtId="0" fontId="6" fillId="0" borderId="4" applyNumberFormat="0" applyFill="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18" fillId="7" borderId="0" applyNumberFormat="0" applyBorder="0" applyProtection="0">
      <alignment vertical="center"/>
    </xf>
    <xf numFmtId="44" fontId="1" fillId="0" borderId="0" applyFont="0" applyFill="0" applyBorder="0" applyAlignment="0" applyProtection="0"/>
  </cellStyleXfs>
  <cellXfs count="247">
    <xf numFmtId="0" fontId="0" fillId="0" borderId="0" xfId="0"/>
    <xf numFmtId="0" fontId="10" fillId="0" borderId="0" xfId="11"/>
    <xf numFmtId="0" fontId="6" fillId="0" borderId="0" xfId="0" applyFont="1"/>
    <xf numFmtId="0" fontId="0" fillId="3" borderId="0" xfId="0" applyFill="1"/>
    <xf numFmtId="0" fontId="11" fillId="0" borderId="0" xfId="0" applyFont="1"/>
    <xf numFmtId="0" fontId="2" fillId="0" borderId="0" xfId="1" applyAlignment="1"/>
    <xf numFmtId="0" fontId="0" fillId="5" borderId="0" xfId="0" applyFill="1"/>
    <xf numFmtId="0" fontId="6" fillId="0" borderId="13" xfId="0" applyFont="1" applyBorder="1"/>
    <xf numFmtId="0" fontId="0" fillId="0" borderId="13" xfId="0" applyBorder="1"/>
    <xf numFmtId="0" fontId="4" fillId="0" borderId="0" xfId="6"/>
    <xf numFmtId="0" fontId="4" fillId="0" borderId="0" xfId="6" applyFill="1"/>
    <xf numFmtId="0" fontId="0" fillId="0" borderId="19" xfId="0" applyBorder="1"/>
    <xf numFmtId="0" fontId="0" fillId="0" borderId="17" xfId="0" applyBorder="1"/>
    <xf numFmtId="0" fontId="0" fillId="0" borderId="18" xfId="0" applyBorder="1"/>
    <xf numFmtId="0" fontId="0" fillId="0" borderId="21" xfId="0" applyBorder="1"/>
    <xf numFmtId="0" fontId="0" fillId="0" borderId="23" xfId="0" applyBorder="1"/>
    <xf numFmtId="0" fontId="0" fillId="0" borderId="24" xfId="0" applyBorder="1"/>
    <xf numFmtId="0" fontId="14" fillId="8" borderId="13" xfId="0" applyFont="1" applyFill="1" applyBorder="1"/>
    <xf numFmtId="0" fontId="8" fillId="0" borderId="13" xfId="0" applyFont="1" applyBorder="1"/>
    <xf numFmtId="0" fontId="8" fillId="9" borderId="13" xfId="0" applyFont="1" applyFill="1" applyBorder="1"/>
    <xf numFmtId="0" fontId="8" fillId="3" borderId="13" xfId="0" applyFont="1" applyFill="1" applyBorder="1"/>
    <xf numFmtId="0" fontId="6" fillId="10" borderId="0" xfId="0" applyFont="1" applyFill="1"/>
    <xf numFmtId="0" fontId="6" fillId="5" borderId="0" xfId="0" applyFont="1" applyFill="1"/>
    <xf numFmtId="165" fontId="19" fillId="7" borderId="28" xfId="13" applyNumberFormat="1" applyFont="1" applyBorder="1">
      <alignment vertical="center"/>
    </xf>
    <xf numFmtId="0" fontId="19" fillId="3" borderId="29" xfId="0" applyFont="1" applyFill="1" applyBorder="1" applyAlignment="1">
      <alignment horizontal="right" vertical="center"/>
    </xf>
    <xf numFmtId="0" fontId="20" fillId="3" borderId="7" xfId="0" applyFont="1" applyFill="1" applyBorder="1" applyAlignment="1">
      <alignment horizontal="left" vertical="top"/>
    </xf>
    <xf numFmtId="0" fontId="0" fillId="3" borderId="7" xfId="0" applyFill="1" applyBorder="1" applyAlignment="1">
      <alignment horizontal="left" vertical="top"/>
    </xf>
    <xf numFmtId="0" fontId="0" fillId="3" borderId="7" xfId="0" applyFill="1" applyBorder="1"/>
    <xf numFmtId="0" fontId="0" fillId="3" borderId="8" xfId="0" applyFill="1" applyBorder="1"/>
    <xf numFmtId="0" fontId="19" fillId="3" borderId="26" xfId="0" applyFont="1" applyFill="1" applyBorder="1" applyAlignment="1">
      <alignment horizontal="right" vertical="center"/>
    </xf>
    <xf numFmtId="0" fontId="20" fillId="3" borderId="0" xfId="0" applyFont="1" applyFill="1" applyAlignment="1">
      <alignment horizontal="left" vertical="top"/>
    </xf>
    <xf numFmtId="0" fontId="0" fillId="3" borderId="0" xfId="0" applyFill="1" applyAlignment="1">
      <alignment horizontal="left" vertical="top"/>
    </xf>
    <xf numFmtId="0" fontId="0" fillId="3" borderId="10" xfId="0" applyFill="1" applyBorder="1"/>
    <xf numFmtId="0" fontId="19" fillId="3" borderId="0" xfId="0" applyFont="1" applyFill="1" applyAlignment="1">
      <alignment horizontal="left" vertical="top"/>
    </xf>
    <xf numFmtId="0" fontId="19" fillId="3" borderId="27" xfId="0" applyFont="1" applyFill="1" applyBorder="1" applyAlignment="1">
      <alignment horizontal="right" vertical="center"/>
    </xf>
    <xf numFmtId="0" fontId="20" fillId="3" borderId="5" xfId="0" applyFont="1" applyFill="1" applyBorder="1" applyAlignment="1">
      <alignment horizontal="left" vertical="top"/>
    </xf>
    <xf numFmtId="0" fontId="0" fillId="3" borderId="5" xfId="0" applyFill="1" applyBorder="1" applyAlignment="1">
      <alignment horizontal="left" vertical="top"/>
    </xf>
    <xf numFmtId="0" fontId="0" fillId="3" borderId="5" xfId="0" applyFill="1" applyBorder="1"/>
    <xf numFmtId="0" fontId="0" fillId="3" borderId="12" xfId="0" applyFill="1" applyBorder="1"/>
    <xf numFmtId="0" fontId="0" fillId="0" borderId="10" xfId="0" applyBorder="1"/>
    <xf numFmtId="0" fontId="0" fillId="0" borderId="5" xfId="0" applyBorder="1"/>
    <xf numFmtId="0" fontId="0" fillId="0" borderId="12" xfId="0" applyBorder="1"/>
    <xf numFmtId="0" fontId="6" fillId="12" borderId="0" xfId="0" applyFont="1" applyFill="1"/>
    <xf numFmtId="0" fontId="0" fillId="12" borderId="0" xfId="0" applyFill="1"/>
    <xf numFmtId="0" fontId="7" fillId="0" borderId="13" xfId="0" applyFont="1" applyBorder="1"/>
    <xf numFmtId="0" fontId="0" fillId="0" borderId="9" xfId="0" applyBorder="1"/>
    <xf numFmtId="0" fontId="0" fillId="0" borderId="11" xfId="0" applyBorder="1"/>
    <xf numFmtId="165" fontId="19" fillId="7" borderId="14" xfId="13" applyNumberFormat="1" applyFont="1" applyBorder="1">
      <alignment vertical="center"/>
    </xf>
    <xf numFmtId="165" fontId="19" fillId="7" borderId="15" xfId="13" applyNumberFormat="1" applyFont="1" applyBorder="1">
      <alignment vertical="center"/>
    </xf>
    <xf numFmtId="165" fontId="19" fillId="7" borderId="16" xfId="13" applyNumberFormat="1" applyFont="1" applyBorder="1">
      <alignment vertical="center"/>
    </xf>
    <xf numFmtId="166" fontId="0" fillId="0" borderId="22" xfId="0" applyNumberFormat="1" applyBorder="1"/>
    <xf numFmtId="166" fontId="0" fillId="0" borderId="25" xfId="0" applyNumberFormat="1" applyBorder="1"/>
    <xf numFmtId="0" fontId="0" fillId="0" borderId="35" xfId="0" applyBorder="1"/>
    <xf numFmtId="0" fontId="17" fillId="0" borderId="13" xfId="0" applyFont="1" applyBorder="1"/>
    <xf numFmtId="0" fontId="17" fillId="0" borderId="0" xfId="0" applyFont="1"/>
    <xf numFmtId="166" fontId="0" fillId="0" borderId="0" xfId="7" applyNumberFormat="1" applyFont="1"/>
    <xf numFmtId="166" fontId="0" fillId="0" borderId="0" xfId="0" applyNumberFormat="1"/>
    <xf numFmtId="0" fontId="17" fillId="15" borderId="34" xfId="0" applyFont="1" applyFill="1" applyBorder="1"/>
    <xf numFmtId="8" fontId="0" fillId="0" borderId="0" xfId="0" applyNumberFormat="1"/>
    <xf numFmtId="8" fontId="0" fillId="0" borderId="35" xfId="0" applyNumberFormat="1" applyBorder="1"/>
    <xf numFmtId="0" fontId="17" fillId="15" borderId="0" xfId="0" applyFont="1" applyFill="1"/>
    <xf numFmtId="166" fontId="7" fillId="0" borderId="13" xfId="14" applyNumberFormat="1" applyFont="1" applyFill="1" applyBorder="1"/>
    <xf numFmtId="166" fontId="8" fillId="0" borderId="31" xfId="14" applyNumberFormat="1" applyFont="1" applyFill="1" applyBorder="1"/>
    <xf numFmtId="166" fontId="0" fillId="0" borderId="13" xfId="14" applyNumberFormat="1" applyFont="1" applyFill="1" applyBorder="1"/>
    <xf numFmtId="0" fontId="21" fillId="0" borderId="13" xfId="8" applyFont="1" applyBorder="1" applyAlignment="1">
      <alignment horizontal="right" vertical="top"/>
    </xf>
    <xf numFmtId="0" fontId="0" fillId="0" borderId="13" xfId="0" applyBorder="1" applyAlignment="1">
      <alignment horizontal="right"/>
    </xf>
    <xf numFmtId="0" fontId="6" fillId="0" borderId="13" xfId="0" applyFont="1" applyBorder="1" applyAlignment="1">
      <alignment horizontal="right"/>
    </xf>
    <xf numFmtId="0" fontId="21" fillId="0" borderId="13" xfId="8" applyFont="1" applyBorder="1" applyAlignment="1">
      <alignment horizontal="center" vertical="top"/>
    </xf>
    <xf numFmtId="167" fontId="6" fillId="0" borderId="13" xfId="14" applyNumberFormat="1" applyFont="1" applyFill="1" applyBorder="1"/>
    <xf numFmtId="0" fontId="28" fillId="0" borderId="0" xfId="0" applyFont="1" applyAlignment="1">
      <alignment vertical="center"/>
    </xf>
    <xf numFmtId="0" fontId="29" fillId="16" borderId="20" xfId="0" applyFont="1" applyFill="1" applyBorder="1" applyAlignment="1">
      <alignment vertical="center" wrapText="1"/>
    </xf>
    <xf numFmtId="0" fontId="29" fillId="16" borderId="12" xfId="0" applyFont="1" applyFill="1" applyBorder="1" applyAlignment="1">
      <alignment vertical="center" wrapText="1"/>
    </xf>
    <xf numFmtId="0" fontId="7" fillId="0" borderId="24" xfId="0" applyFont="1" applyBorder="1"/>
    <xf numFmtId="0" fontId="0" fillId="10" borderId="0" xfId="0" applyFill="1"/>
    <xf numFmtId="0" fontId="0" fillId="18" borderId="30" xfId="0" applyFill="1" applyBorder="1"/>
    <xf numFmtId="0" fontId="0" fillId="0" borderId="30" xfId="0" applyBorder="1"/>
    <xf numFmtId="0" fontId="17" fillId="17" borderId="32" xfId="0" applyFont="1" applyFill="1" applyBorder="1"/>
    <xf numFmtId="0" fontId="0" fillId="18" borderId="33" xfId="0" applyFill="1" applyBorder="1"/>
    <xf numFmtId="0" fontId="16" fillId="0" borderId="20" xfId="0" applyFont="1" applyBorder="1" applyAlignment="1">
      <alignment vertical="center" wrapText="1"/>
    </xf>
    <xf numFmtId="0" fontId="16" fillId="0" borderId="12" xfId="0" applyFont="1" applyBorder="1" applyAlignment="1">
      <alignment vertical="center" wrapText="1"/>
    </xf>
    <xf numFmtId="8" fontId="16" fillId="0" borderId="12" xfId="0" applyNumberFormat="1" applyFont="1" applyBorder="1" applyAlignment="1">
      <alignment horizontal="right" vertical="center" wrapText="1"/>
    </xf>
    <xf numFmtId="3" fontId="16" fillId="0" borderId="12" xfId="0" applyNumberFormat="1" applyFont="1" applyBorder="1" applyAlignment="1">
      <alignment vertical="center" wrapText="1"/>
    </xf>
    <xf numFmtId="2" fontId="0" fillId="0" borderId="0" xfId="0" applyNumberFormat="1"/>
    <xf numFmtId="0" fontId="21" fillId="0" borderId="0" xfId="8" applyFont="1" applyAlignment="1">
      <alignment horizontal="right" vertical="top"/>
    </xf>
    <xf numFmtId="0" fontId="5" fillId="0" borderId="0" xfId="9" applyBorder="1"/>
    <xf numFmtId="0" fontId="0" fillId="0" borderId="0" xfId="0" applyFill="1"/>
    <xf numFmtId="0" fontId="0" fillId="0" borderId="0" xfId="0" applyFill="1" applyBorder="1"/>
    <xf numFmtId="0" fontId="6" fillId="0" borderId="0" xfId="0" applyFont="1" applyFill="1" applyBorder="1"/>
    <xf numFmtId="0" fontId="0" fillId="0" borderId="13" xfId="0" applyFill="1" applyBorder="1"/>
    <xf numFmtId="0" fontId="8" fillId="0" borderId="13" xfId="0" applyFont="1" applyFill="1" applyBorder="1"/>
    <xf numFmtId="0" fontId="7" fillId="0" borderId="13" xfId="0" applyFont="1" applyFill="1" applyBorder="1"/>
    <xf numFmtId="0" fontId="26" fillId="0" borderId="13" xfId="0" applyFont="1" applyFill="1" applyBorder="1"/>
    <xf numFmtId="0" fontId="12" fillId="0" borderId="0" xfId="3" applyFill="1" applyBorder="1"/>
    <xf numFmtId="0" fontId="12" fillId="0" borderId="0" xfId="3" applyFill="1" applyBorder="1" applyAlignment="1">
      <alignment horizontal="left" vertical="top" wrapText="1"/>
    </xf>
    <xf numFmtId="0" fontId="8" fillId="0" borderId="0" xfId="0" applyFont="1" applyFill="1" applyBorder="1"/>
    <xf numFmtId="0" fontId="8" fillId="0" borderId="0" xfId="0" applyFont="1" applyFill="1" applyBorder="1" applyAlignment="1">
      <alignment wrapText="1"/>
    </xf>
    <xf numFmtId="0" fontId="7" fillId="0" borderId="0" xfId="5" applyFill="1" applyBorder="1" applyAlignment="1">
      <alignment horizontal="left" vertical="top"/>
    </xf>
    <xf numFmtId="164" fontId="7" fillId="0" borderId="0" xfId="7" applyNumberFormat="1" applyFont="1" applyFill="1" applyBorder="1" applyAlignment="1">
      <alignment horizontal="left" vertical="top" wrapText="1"/>
    </xf>
    <xf numFmtId="0" fontId="7" fillId="0" borderId="0" xfId="5" applyFill="1" applyBorder="1" applyAlignment="1">
      <alignment horizontal="left" vertical="top" wrapText="1"/>
    </xf>
    <xf numFmtId="0" fontId="9" fillId="0" borderId="0" xfId="8" applyFill="1" applyBorder="1" applyAlignment="1">
      <alignment horizontal="left" vertical="top"/>
    </xf>
    <xf numFmtId="164" fontId="9" fillId="0" borderId="0" xfId="7" applyNumberFormat="1" applyFont="1" applyFill="1" applyBorder="1" applyAlignment="1">
      <alignment horizontal="left" vertical="top" wrapText="1"/>
    </xf>
    <xf numFmtId="0" fontId="9" fillId="0" borderId="0" xfId="8" applyFill="1" applyBorder="1" applyAlignment="1">
      <alignment horizontal="left" vertical="top" wrapText="1"/>
    </xf>
    <xf numFmtId="0" fontId="13" fillId="0" borderId="0" xfId="0" applyFont="1" applyFill="1" applyBorder="1"/>
    <xf numFmtId="0" fontId="13" fillId="0" borderId="0" xfId="0" applyFont="1" applyFill="1" applyBorder="1" applyAlignment="1">
      <alignment wrapText="1"/>
    </xf>
    <xf numFmtId="0" fontId="6" fillId="0" borderId="0" xfId="4" applyFill="1" applyBorder="1"/>
    <xf numFmtId="0" fontId="14" fillId="0" borderId="0" xfId="4" applyFont="1" applyFill="1" applyBorder="1" applyAlignment="1">
      <alignment wrapText="1"/>
    </xf>
    <xf numFmtId="0" fontId="6" fillId="0" borderId="0" xfId="10" applyFill="1" applyBorder="1"/>
    <xf numFmtId="0" fontId="6" fillId="0" borderId="0" xfId="10" applyFill="1" applyBorder="1" applyAlignment="1">
      <alignment wrapText="1"/>
    </xf>
    <xf numFmtId="0" fontId="4" fillId="0" borderId="0" xfId="6" applyFill="1" applyBorder="1"/>
    <xf numFmtId="0" fontId="5" fillId="0" borderId="0" xfId="12" applyFill="1" applyBorder="1"/>
    <xf numFmtId="166" fontId="0" fillId="0" borderId="13" xfId="0" applyNumberFormat="1" applyFill="1" applyBorder="1"/>
    <xf numFmtId="167" fontId="6" fillId="0" borderId="13" xfId="0" applyNumberFormat="1" applyFont="1" applyFill="1" applyBorder="1"/>
    <xf numFmtId="0" fontId="8" fillId="0" borderId="24" xfId="0" applyFont="1" applyFill="1" applyBorder="1"/>
    <xf numFmtId="0" fontId="0" fillId="0" borderId="24" xfId="0" applyFill="1" applyBorder="1"/>
    <xf numFmtId="166" fontId="0" fillId="0" borderId="24" xfId="0" applyNumberFormat="1" applyFill="1" applyBorder="1"/>
    <xf numFmtId="167" fontId="6" fillId="0" borderId="24" xfId="0" applyNumberFormat="1" applyFont="1" applyFill="1" applyBorder="1"/>
    <xf numFmtId="0" fontId="7" fillId="0" borderId="24" xfId="0" applyFont="1" applyFill="1" applyBorder="1"/>
    <xf numFmtId="8" fontId="0" fillId="0" borderId="13" xfId="0" applyNumberFormat="1" applyFill="1" applyBorder="1"/>
    <xf numFmtId="44" fontId="0" fillId="0" borderId="13" xfId="14" applyFont="1" applyFill="1" applyBorder="1"/>
    <xf numFmtId="0" fontId="25" fillId="0" borderId="13" xfId="0" applyFont="1" applyFill="1" applyBorder="1" applyAlignment="1">
      <alignment horizontal="left" wrapText="1"/>
    </xf>
    <xf numFmtId="0" fontId="6" fillId="20" borderId="0" xfId="0" applyFont="1" applyFill="1" applyProtection="1">
      <protection locked="0"/>
    </xf>
    <xf numFmtId="0" fontId="0" fillId="20" borderId="0" xfId="0" applyFill="1" applyProtection="1">
      <protection locked="0"/>
    </xf>
    <xf numFmtId="0" fontId="0" fillId="20" borderId="0" xfId="0" applyFill="1" applyBorder="1" applyProtection="1">
      <protection locked="0"/>
    </xf>
    <xf numFmtId="0" fontId="24" fillId="20" borderId="0" xfId="0" applyFont="1" applyFill="1" applyProtection="1">
      <protection locked="0"/>
    </xf>
    <xf numFmtId="0" fontId="0" fillId="20" borderId="36" xfId="0" applyFill="1" applyBorder="1" applyProtection="1">
      <protection locked="0"/>
    </xf>
    <xf numFmtId="0" fontId="0" fillId="20" borderId="38" xfId="0" applyFill="1" applyBorder="1" applyProtection="1">
      <protection locked="0"/>
    </xf>
    <xf numFmtId="0" fontId="0" fillId="20" borderId="37" xfId="0" applyFill="1" applyBorder="1" applyProtection="1">
      <protection locked="0"/>
    </xf>
    <xf numFmtId="2" fontId="0" fillId="20" borderId="0" xfId="0" applyNumberFormat="1" applyFill="1" applyProtection="1">
      <protection locked="0"/>
    </xf>
    <xf numFmtId="0" fontId="7" fillId="9" borderId="13" xfId="0" applyFont="1" applyFill="1" applyBorder="1"/>
    <xf numFmtId="0" fontId="32" fillId="13" borderId="0" xfId="2" applyFont="1" applyFill="1" applyBorder="1" applyProtection="1">
      <protection locked="0"/>
    </xf>
    <xf numFmtId="0" fontId="32" fillId="13" borderId="0" xfId="0" applyFont="1" applyFill="1" applyProtection="1">
      <protection locked="0"/>
    </xf>
    <xf numFmtId="0" fontId="17" fillId="21" borderId="0" xfId="0" applyFont="1" applyFill="1"/>
    <xf numFmtId="0" fontId="0" fillId="20" borderId="0" xfId="0" applyFill="1"/>
    <xf numFmtId="0" fontId="6" fillId="20" borderId="0" xfId="0" applyFont="1" applyFill="1"/>
    <xf numFmtId="0" fontId="4" fillId="20" borderId="0" xfId="6" applyFill="1"/>
    <xf numFmtId="0" fontId="0" fillId="20" borderId="0" xfId="0" applyFill="1" applyBorder="1"/>
    <xf numFmtId="164" fontId="12" fillId="20" borderId="0" xfId="7" applyNumberFormat="1" applyFont="1" applyFill="1" applyBorder="1" applyProtection="1">
      <protection locked="0"/>
    </xf>
    <xf numFmtId="0" fontId="3" fillId="20" borderId="0" xfId="2" applyFill="1" applyBorder="1" applyProtection="1"/>
    <xf numFmtId="164" fontId="0" fillId="20" borderId="0" xfId="0" applyNumberFormat="1" applyFill="1" applyBorder="1"/>
    <xf numFmtId="0" fontId="33" fillId="13" borderId="42" xfId="6" applyFont="1" applyFill="1" applyBorder="1" applyAlignment="1" applyProtection="1"/>
    <xf numFmtId="0" fontId="3" fillId="20" borderId="40" xfId="2" applyFill="1" applyBorder="1" applyProtection="1"/>
    <xf numFmtId="0" fontId="0" fillId="20" borderId="0" xfId="0" applyFill="1" applyAlignment="1">
      <alignment horizontal="right"/>
    </xf>
    <xf numFmtId="0" fontId="0" fillId="13" borderId="45" xfId="0" applyFill="1" applyBorder="1" applyProtection="1">
      <protection locked="0"/>
    </xf>
    <xf numFmtId="0" fontId="6" fillId="13" borderId="46" xfId="0" applyFont="1" applyFill="1" applyBorder="1"/>
    <xf numFmtId="0" fontId="0" fillId="13" borderId="43" xfId="0" applyFill="1" applyBorder="1" applyProtection="1">
      <protection locked="0"/>
    </xf>
    <xf numFmtId="0" fontId="27" fillId="13" borderId="42" xfId="0" applyFont="1" applyFill="1" applyBorder="1" applyProtection="1">
      <protection locked="0"/>
    </xf>
    <xf numFmtId="0" fontId="4" fillId="13" borderId="42" xfId="6" applyFill="1" applyBorder="1" applyAlignment="1">
      <alignment horizontal="left"/>
    </xf>
    <xf numFmtId="0" fontId="17" fillId="19" borderId="0" xfId="0" applyFont="1" applyFill="1"/>
    <xf numFmtId="165" fontId="20" fillId="7" borderId="28" xfId="13" applyNumberFormat="1" applyFont="1" applyBorder="1">
      <alignment vertical="center"/>
    </xf>
    <xf numFmtId="0" fontId="34" fillId="13" borderId="0" xfId="0" applyFont="1" applyFill="1" applyProtection="1">
      <protection locked="0"/>
    </xf>
    <xf numFmtId="0" fontId="17" fillId="19" borderId="47" xfId="0" applyFont="1" applyFill="1" applyBorder="1" applyAlignment="1">
      <alignment wrapText="1"/>
    </xf>
    <xf numFmtId="0" fontId="17" fillId="19" borderId="50" xfId="0" applyFont="1" applyFill="1" applyBorder="1" applyAlignment="1">
      <alignment wrapText="1"/>
    </xf>
    <xf numFmtId="0" fontId="17" fillId="19" borderId="46" xfId="0" applyFont="1" applyFill="1" applyBorder="1" applyAlignment="1">
      <alignment wrapText="1"/>
    </xf>
    <xf numFmtId="0" fontId="34" fillId="20" borderId="0" xfId="0" applyFont="1" applyFill="1" applyProtection="1">
      <protection locked="0"/>
    </xf>
    <xf numFmtId="0" fontId="0" fillId="20" borderId="0" xfId="0" applyFill="1" applyAlignment="1">
      <alignment horizontal="left" vertical="top" wrapText="1"/>
    </xf>
    <xf numFmtId="0" fontId="0" fillId="20" borderId="0" xfId="0" applyFill="1" applyAlignment="1" applyProtection="1">
      <alignment horizontal="left" vertical="top" wrapText="1"/>
      <protection locked="0"/>
    </xf>
    <xf numFmtId="0" fontId="0" fillId="20" borderId="40" xfId="0" applyFill="1" applyBorder="1" applyAlignment="1" applyProtection="1">
      <alignment horizontal="left" vertical="top" wrapText="1"/>
      <protection locked="0"/>
    </xf>
    <xf numFmtId="0" fontId="0" fillId="14" borderId="40" xfId="0" applyFill="1" applyBorder="1" applyAlignment="1">
      <alignment wrapText="1"/>
    </xf>
    <xf numFmtId="0" fontId="10" fillId="14" borderId="40" xfId="11" applyFill="1" applyBorder="1" applyAlignment="1">
      <alignment wrapText="1"/>
    </xf>
    <xf numFmtId="0" fontId="10" fillId="14" borderId="42" xfId="11" applyFill="1" applyBorder="1" applyAlignment="1">
      <alignment wrapText="1"/>
    </xf>
    <xf numFmtId="0" fontId="0" fillId="14" borderId="42" xfId="0" applyFill="1" applyBorder="1"/>
    <xf numFmtId="0" fontId="0" fillId="14" borderId="48" xfId="0" applyFill="1" applyBorder="1" applyAlignment="1">
      <alignment wrapText="1"/>
    </xf>
    <xf numFmtId="0" fontId="10" fillId="14" borderId="48" xfId="11" applyFill="1" applyBorder="1" applyAlignment="1">
      <alignment wrapText="1"/>
    </xf>
    <xf numFmtId="0" fontId="0" fillId="14" borderId="44" xfId="0" applyFill="1" applyBorder="1"/>
    <xf numFmtId="0" fontId="6" fillId="6" borderId="43" xfId="0" applyFont="1" applyFill="1" applyBorder="1" applyAlignment="1">
      <alignment wrapText="1"/>
    </xf>
    <xf numFmtId="0" fontId="6" fillId="6" borderId="45" xfId="0" applyFont="1" applyFill="1" applyBorder="1" applyAlignment="1">
      <alignment wrapText="1"/>
    </xf>
    <xf numFmtId="164" fontId="12" fillId="20" borderId="50" xfId="7" applyNumberFormat="1" applyFont="1" applyFill="1" applyBorder="1" applyProtection="1">
      <protection locked="0"/>
    </xf>
    <xf numFmtId="0" fontId="0" fillId="20" borderId="48" xfId="0" applyFill="1" applyBorder="1" applyAlignment="1">
      <alignment horizontal="right"/>
    </xf>
    <xf numFmtId="0" fontId="0" fillId="20" borderId="49" xfId="0" applyFill="1" applyBorder="1" applyAlignment="1">
      <alignment horizontal="right"/>
    </xf>
    <xf numFmtId="44" fontId="22" fillId="20" borderId="49" xfId="3" applyNumberFormat="1" applyFont="1" applyFill="1" applyBorder="1" applyAlignment="1" applyProtection="1">
      <alignment horizontal="right"/>
      <protection locked="0"/>
    </xf>
    <xf numFmtId="0" fontId="10" fillId="14" borderId="0" xfId="11" applyFill="1" applyAlignment="1">
      <alignment wrapText="1"/>
    </xf>
    <xf numFmtId="0" fontId="14" fillId="0" borderId="13" xfId="0" applyFont="1" applyFill="1" applyBorder="1"/>
    <xf numFmtId="0" fontId="26" fillId="0" borderId="13" xfId="0" applyFont="1" applyFill="1" applyBorder="1" applyAlignment="1">
      <alignment horizontal="left" vertical="top" wrapText="1"/>
    </xf>
    <xf numFmtId="0" fontId="0" fillId="0" borderId="0" xfId="0" applyFill="1" applyAlignment="1" applyProtection="1">
      <alignment horizontal="left" vertical="top" wrapText="1"/>
      <protection locked="0"/>
    </xf>
    <xf numFmtId="0" fontId="0" fillId="0" borderId="0" xfId="0" applyFill="1" applyProtection="1">
      <protection locked="0"/>
    </xf>
    <xf numFmtId="0" fontId="24" fillId="0" borderId="0" xfId="0" applyFont="1" applyFill="1" applyProtection="1">
      <protection locked="0"/>
    </xf>
    <xf numFmtId="0" fontId="0" fillId="20" borderId="49" xfId="0" applyFill="1" applyBorder="1" applyAlignment="1" applyProtection="1">
      <alignment horizontal="right"/>
      <protection locked="0"/>
    </xf>
    <xf numFmtId="44" fontId="22" fillId="2" borderId="53" xfId="3" applyNumberFormat="1" applyFont="1" applyBorder="1" applyAlignment="1" applyProtection="1">
      <alignment horizontal="right"/>
      <protection locked="0"/>
    </xf>
    <xf numFmtId="164" fontId="22" fillId="2" borderId="53" xfId="7" applyNumberFormat="1" applyFont="1" applyFill="1" applyBorder="1" applyAlignment="1" applyProtection="1">
      <alignment horizontal="right" vertical="top"/>
      <protection locked="0"/>
    </xf>
    <xf numFmtId="43" fontId="22" fillId="2" borderId="53" xfId="7" applyFont="1" applyFill="1" applyBorder="1" applyAlignment="1" applyProtection="1">
      <alignment horizontal="right"/>
      <protection locked="0"/>
    </xf>
    <xf numFmtId="164" fontId="22" fillId="2" borderId="53" xfId="7" applyNumberFormat="1" applyFont="1" applyFill="1" applyBorder="1" applyAlignment="1" applyProtection="1">
      <alignment horizontal="right"/>
      <protection locked="0"/>
    </xf>
    <xf numFmtId="0" fontId="0" fillId="13" borderId="45" xfId="0" applyFill="1" applyBorder="1"/>
    <xf numFmtId="0" fontId="0" fillId="0" borderId="42" xfId="0" applyBorder="1"/>
    <xf numFmtId="0" fontId="6" fillId="13" borderId="48" xfId="0" applyFont="1" applyFill="1" applyBorder="1" applyAlignment="1">
      <alignment horizontal="right"/>
    </xf>
    <xf numFmtId="164" fontId="22" fillId="2" borderId="53" xfId="7" applyNumberFormat="1" applyFont="1" applyFill="1" applyBorder="1" applyProtection="1">
      <protection locked="0"/>
    </xf>
    <xf numFmtId="8" fontId="0" fillId="0" borderId="24" xfId="0" applyNumberFormat="1" applyFill="1" applyBorder="1"/>
    <xf numFmtId="0" fontId="0" fillId="13" borderId="13" xfId="0" applyFill="1" applyBorder="1"/>
    <xf numFmtId="8" fontId="0" fillId="13" borderId="13" xfId="0" applyNumberFormat="1" applyFill="1" applyBorder="1"/>
    <xf numFmtId="166" fontId="0" fillId="0" borderId="0" xfId="0" applyNumberFormat="1" applyFill="1"/>
    <xf numFmtId="0" fontId="37" fillId="23" borderId="55" xfId="0" applyFont="1" applyFill="1" applyBorder="1" applyAlignment="1">
      <alignment vertical="center" wrapText="1"/>
    </xf>
    <xf numFmtId="0" fontId="37" fillId="23" borderId="56" xfId="0" applyFont="1" applyFill="1" applyBorder="1" applyAlignment="1">
      <alignment vertical="center" wrapText="1"/>
    </xf>
    <xf numFmtId="0" fontId="38" fillId="0" borderId="57" xfId="0" applyFont="1" applyBorder="1" applyAlignment="1">
      <alignment vertical="center" wrapText="1"/>
    </xf>
    <xf numFmtId="0" fontId="38" fillId="0" borderId="58" xfId="0" applyFont="1" applyBorder="1" applyAlignment="1">
      <alignment vertical="center" wrapText="1"/>
    </xf>
    <xf numFmtId="0" fontId="36" fillId="13" borderId="0" xfId="0" applyFont="1" applyFill="1" applyAlignment="1">
      <alignment wrapText="1"/>
    </xf>
    <xf numFmtId="0" fontId="22" fillId="2" borderId="53" xfId="3" applyFont="1" applyBorder="1" applyAlignment="1" applyProtection="1">
      <alignment horizontal="right"/>
      <protection locked="0"/>
    </xf>
    <xf numFmtId="0" fontId="0" fillId="20" borderId="0" xfId="0" applyFill="1" applyProtection="1"/>
    <xf numFmtId="0" fontId="0" fillId="0" borderId="0" xfId="0" applyFill="1" applyProtection="1"/>
    <xf numFmtId="0" fontId="32" fillId="13" borderId="0" xfId="2" applyFont="1" applyFill="1" applyBorder="1" applyProtection="1"/>
    <xf numFmtId="0" fontId="32" fillId="13" borderId="0" xfId="0" applyFont="1" applyFill="1" applyProtection="1"/>
    <xf numFmtId="0" fontId="27" fillId="13" borderId="0" xfId="0" applyFont="1" applyFill="1" applyProtection="1"/>
    <xf numFmtId="0" fontId="0" fillId="20" borderId="0" xfId="0" applyFill="1" applyBorder="1" applyProtection="1"/>
    <xf numFmtId="0" fontId="11" fillId="20" borderId="0" xfId="0" applyFont="1" applyFill="1" applyProtection="1"/>
    <xf numFmtId="0" fontId="30" fillId="21" borderId="0" xfId="0" applyFont="1" applyFill="1" applyBorder="1" applyProtection="1"/>
    <xf numFmtId="0" fontId="15" fillId="21" borderId="0" xfId="0" applyFont="1" applyFill="1" applyBorder="1" applyProtection="1"/>
    <xf numFmtId="0" fontId="0" fillId="3" borderId="40" xfId="0" applyFill="1" applyBorder="1" applyProtection="1"/>
    <xf numFmtId="168" fontId="0" fillId="3" borderId="40" xfId="14" applyNumberFormat="1" applyFont="1" applyFill="1" applyBorder="1" applyProtection="1"/>
    <xf numFmtId="0" fontId="6" fillId="20" borderId="0" xfId="0" applyFont="1" applyFill="1" applyProtection="1"/>
    <xf numFmtId="0" fontId="6" fillId="13" borderId="40" xfId="0" applyFont="1" applyFill="1" applyBorder="1" applyProtection="1"/>
    <xf numFmtId="168" fontId="0" fillId="13" borderId="40" xfId="14" applyNumberFormat="1" applyFont="1" applyFill="1" applyBorder="1" applyProtection="1"/>
    <xf numFmtId="168" fontId="0" fillId="20" borderId="0" xfId="0" applyNumberFormat="1" applyFill="1" applyBorder="1" applyProtection="1"/>
    <xf numFmtId="168" fontId="15" fillId="21" borderId="0" xfId="0" applyNumberFormat="1" applyFont="1" applyFill="1" applyBorder="1" applyProtection="1"/>
    <xf numFmtId="0" fontId="0" fillId="20" borderId="41" xfId="0" applyFill="1" applyBorder="1" applyProtection="1"/>
    <xf numFmtId="168" fontId="0" fillId="20" borderId="41" xfId="0" applyNumberFormat="1" applyFill="1" applyBorder="1" applyProtection="1"/>
    <xf numFmtId="0" fontId="27" fillId="20" borderId="37" xfId="0" applyFont="1" applyFill="1" applyBorder="1" applyProtection="1"/>
    <xf numFmtId="168" fontId="0" fillId="20" borderId="37" xfId="0" applyNumberFormat="1" applyFill="1" applyBorder="1" applyProtection="1"/>
    <xf numFmtId="0" fontId="0" fillId="20" borderId="39" xfId="0" applyFill="1" applyBorder="1" applyProtection="1"/>
    <xf numFmtId="168" fontId="0" fillId="20" borderId="39" xfId="0" applyNumberFormat="1" applyFill="1" applyBorder="1" applyProtection="1"/>
    <xf numFmtId="0" fontId="30" fillId="21" borderId="53" xfId="0" applyFont="1" applyFill="1" applyBorder="1" applyProtection="1"/>
    <xf numFmtId="168" fontId="31" fillId="13" borderId="53" xfId="14" applyNumberFormat="1" applyFont="1" applyFill="1" applyBorder="1" applyProtection="1"/>
    <xf numFmtId="44" fontId="6" fillId="20" borderId="0" xfId="0" applyNumberFormat="1" applyFont="1" applyFill="1" applyProtection="1"/>
    <xf numFmtId="0" fontId="34" fillId="13" borderId="0" xfId="0" applyFont="1" applyFill="1" applyProtection="1"/>
    <xf numFmtId="0" fontId="34" fillId="20" borderId="0" xfId="0" applyFont="1" applyFill="1" applyProtection="1"/>
    <xf numFmtId="0" fontId="17" fillId="19" borderId="40" xfId="0" applyFont="1" applyFill="1" applyBorder="1" applyAlignment="1" applyProtection="1">
      <alignment wrapText="1"/>
    </xf>
    <xf numFmtId="0" fontId="6" fillId="6" borderId="51" xfId="0" applyFont="1" applyFill="1" applyBorder="1" applyAlignment="1" applyProtection="1">
      <alignment horizontal="left" vertical="top" wrapText="1"/>
    </xf>
    <xf numFmtId="0" fontId="6" fillId="22" borderId="51" xfId="0" applyFont="1" applyFill="1" applyBorder="1" applyAlignment="1" applyProtection="1">
      <alignment horizontal="left" vertical="top" wrapText="1"/>
    </xf>
    <xf numFmtId="0" fontId="0" fillId="11" borderId="52" xfId="0" applyFont="1" applyFill="1" applyBorder="1" applyAlignment="1" applyProtection="1">
      <alignment horizontal="left" vertical="top" wrapText="1"/>
    </xf>
    <xf numFmtId="0" fontId="10" fillId="11" borderId="52" xfId="11" applyFill="1" applyBorder="1" applyAlignment="1" applyProtection="1">
      <alignment horizontal="left" vertical="top" wrapText="1"/>
    </xf>
    <xf numFmtId="0" fontId="6" fillId="22" borderId="40" xfId="0" applyFont="1" applyFill="1" applyBorder="1" applyAlignment="1" applyProtection="1">
      <alignment horizontal="left" vertical="top" wrapText="1"/>
    </xf>
    <xf numFmtId="0" fontId="0" fillId="11" borderId="43" xfId="0" applyFont="1" applyFill="1" applyBorder="1" applyAlignment="1" applyProtection="1">
      <alignment horizontal="left" vertical="top" wrapText="1"/>
    </xf>
    <xf numFmtId="0" fontId="10" fillId="11" borderId="43" xfId="11" applyFill="1" applyBorder="1" applyAlignment="1" applyProtection="1">
      <alignment horizontal="left" vertical="top" wrapText="1"/>
    </xf>
    <xf numFmtId="0" fontId="0" fillId="0" borderId="0" xfId="0" applyProtection="1"/>
    <xf numFmtId="0" fontId="39" fillId="13" borderId="0" xfId="0" applyFont="1" applyFill="1" applyProtection="1"/>
    <xf numFmtId="0" fontId="39" fillId="20" borderId="0" xfId="0" applyFont="1" applyFill="1" applyProtection="1"/>
    <xf numFmtId="0" fontId="0" fillId="3" borderId="0" xfId="0" applyFill="1" applyAlignment="1" applyProtection="1">
      <alignment wrapText="1"/>
    </xf>
    <xf numFmtId="0" fontId="0" fillId="20" borderId="0" xfId="0" applyFill="1" applyAlignment="1" applyProtection="1">
      <alignment wrapText="1"/>
    </xf>
    <xf numFmtId="0" fontId="40" fillId="0" borderId="0" xfId="0" applyFont="1" applyAlignment="1" applyProtection="1">
      <alignment vertical="center" wrapText="1"/>
    </xf>
    <xf numFmtId="0" fontId="0" fillId="0" borderId="0" xfId="0" applyAlignment="1" applyProtection="1">
      <alignment wrapText="1"/>
    </xf>
    <xf numFmtId="0" fontId="0" fillId="0" borderId="0" xfId="0" applyAlignment="1" applyProtection="1">
      <alignment horizontal="left" vertical="center" wrapText="1"/>
    </xf>
    <xf numFmtId="0" fontId="10" fillId="0" borderId="0" xfId="11" applyProtection="1"/>
    <xf numFmtId="0" fontId="41" fillId="0" borderId="0" xfId="0" applyFont="1" applyAlignment="1" applyProtection="1">
      <alignment vertical="center" wrapText="1"/>
    </xf>
    <xf numFmtId="0" fontId="6" fillId="0" borderId="0" xfId="0" applyFont="1" applyAlignment="1" applyProtection="1">
      <alignment horizontal="left" vertical="center" wrapText="1"/>
    </xf>
    <xf numFmtId="0" fontId="35" fillId="13" borderId="0" xfId="0" applyFont="1" applyFill="1" applyAlignment="1">
      <alignment vertical="center"/>
    </xf>
    <xf numFmtId="0" fontId="38" fillId="0" borderId="54" xfId="0" applyFont="1" applyBorder="1" applyAlignment="1">
      <alignment horizontal="center" vertical="top" wrapText="1"/>
    </xf>
    <xf numFmtId="0" fontId="38" fillId="0" borderId="59" xfId="0" applyFont="1" applyBorder="1" applyAlignment="1">
      <alignment horizontal="center" vertical="top" wrapText="1"/>
    </xf>
    <xf numFmtId="49" fontId="37" fillId="23" borderId="56" xfId="0" applyNumberFormat="1" applyFont="1" applyFill="1" applyBorder="1" applyAlignment="1">
      <alignment vertical="center"/>
    </xf>
    <xf numFmtId="49" fontId="38" fillId="0" borderId="54" xfId="0" applyNumberFormat="1" applyFont="1" applyBorder="1" applyAlignment="1">
      <alignment vertical="center" wrapText="1"/>
    </xf>
    <xf numFmtId="49" fontId="38" fillId="0" borderId="59" xfId="0" applyNumberFormat="1" applyFont="1" applyBorder="1" applyAlignment="1">
      <alignment vertical="center" wrapText="1"/>
    </xf>
  </cellXfs>
  <cellStyles count="15">
    <cellStyle name="20% - Accent1 2" xfId="13" xr:uid="{7A249306-E6C2-4557-86E8-FDB0F5BD5222}"/>
    <cellStyle name="Calculation" xfId="5" builtinId="22" customBuiltin="1"/>
    <cellStyle name="Check Cell" xfId="9" builtinId="23" customBuiltin="1"/>
    <cellStyle name="Comma" xfId="7" builtinId="3"/>
    <cellStyle name="Currency" xfId="14" builtinId="4"/>
    <cellStyle name="Explanatory Text" xfId="6" builtinId="53"/>
    <cellStyle name="Heading 2" xfId="2" builtinId="17"/>
    <cellStyle name="Hyperlink" xfId="11" builtinId="8"/>
    <cellStyle name="Input" xfId="3" builtinId="20" customBuiltin="1"/>
    <cellStyle name="Linked Cell" xfId="8" builtinId="24" customBuiltin="1"/>
    <cellStyle name="Normal" xfId="0" builtinId="0"/>
    <cellStyle name="Output" xfId="4" builtinId="21" customBuiltin="1"/>
    <cellStyle name="Title" xfId="1" builtinId="15"/>
    <cellStyle name="Total" xfId="10" builtinId="25"/>
    <cellStyle name="Warning Text" xfId="12" builtinId="11"/>
  </cellStyles>
  <dxfs count="95">
    <dxf>
      <font>
        <strike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0"/>
        <color theme="1"/>
        <name val="Arial"/>
        <family val="2"/>
        <scheme val="none"/>
      </font>
      <numFmt numFmtId="30" formatCode="@"/>
      <alignment horizontal="general"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i val="0"/>
        <strike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right style="thin">
          <color theme="2" tint="-0.249977111117893"/>
        </right>
        <top style="thin">
          <color theme="2" tint="-0.249977111117893"/>
        </top>
        <bottom style="thin">
          <color theme="2" tint="-0.249977111117893"/>
        </bottom>
      </border>
    </dxf>
    <dxf>
      <border>
        <top style="thin">
          <color theme="2" tint="-0.249977111117893"/>
        </top>
      </border>
    </dxf>
    <dxf>
      <border diagonalUp="0" diagonalDown="0">
        <left style="thin">
          <color theme="2" tint="-0.249977111117893"/>
        </left>
        <right style="thin">
          <color theme="2" tint="-0.249977111117893"/>
        </right>
        <top style="thin">
          <color theme="2" tint="-0.249977111117893"/>
        </top>
        <bottom style="thin">
          <color theme="2" tint="-0.249977111117893"/>
        </bottom>
      </border>
    </dxf>
    <dxf>
      <font>
        <strike val="0"/>
        <outline val="0"/>
        <shadow val="0"/>
        <u val="none"/>
        <vertAlign val="baseline"/>
        <sz val="10"/>
        <color theme="1"/>
        <name val="Arial"/>
        <family val="2"/>
        <scheme val="none"/>
      </font>
      <alignment horizontal="general" vertical="center" textRotation="0" indent="0" justifyLastLine="0" shrinkToFit="0" readingOrder="0"/>
    </dxf>
    <dxf>
      <border>
        <bottom style="thin">
          <color theme="2" tint="-0.249977111117893"/>
        </bottom>
      </border>
    </dxf>
    <dxf>
      <font>
        <b/>
        <strike val="0"/>
        <outline val="0"/>
        <shadow val="0"/>
        <u val="none"/>
        <vertAlign val="baseline"/>
        <sz val="11"/>
        <color theme="0"/>
        <name val="Arial"/>
        <family val="2"/>
        <scheme val="none"/>
      </font>
      <fill>
        <patternFill patternType="solid">
          <fgColor indexed="64"/>
          <bgColor rgb="FF002060"/>
        </patternFill>
      </fill>
      <alignment horizontal="general" vertical="center" textRotation="0" wrapText="1" indent="0" justifyLastLine="0" shrinkToFit="0" readingOrder="0"/>
      <border diagonalUp="0" diagonalDown="0">
        <left style="thin">
          <color theme="2" tint="-0.249977111117893"/>
        </left>
        <right style="thin">
          <color theme="2" tint="-0.249977111117893"/>
        </right>
        <top/>
        <bottom/>
        <vertical style="thin">
          <color theme="2" tint="-0.249977111117893"/>
        </vertical>
        <horizontal style="thin">
          <color theme="2" tint="-0.249977111117893"/>
        </horizontal>
      </border>
    </dxf>
    <dxf>
      <font>
        <b/>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theme="1"/>
          <bgColor theme="1"/>
        </patternFill>
      </fill>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theme="1"/>
          <bgColor theme="1"/>
        </patternFill>
      </fill>
    </dxf>
    <dxf>
      <font>
        <b val="0"/>
        <i val="0"/>
        <strike val="0"/>
        <condense val="0"/>
        <extend val="0"/>
        <outline val="0"/>
        <shadow val="0"/>
        <u val="none"/>
        <vertAlign val="baseline"/>
        <sz val="11"/>
        <color theme="1"/>
        <name val="Calibri"/>
        <family val="2"/>
        <scheme val="minor"/>
      </font>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theme="1"/>
          <bgColor theme="1"/>
        </patternFill>
      </fill>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2" formatCode="&quot;$&quot;#,##0.00;[Red]\-&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numFmt numFmtId="12" formatCode="&quot;$&quot;#,##0.00;[Red]\-&quot;$&quot;#,##0.00"/>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family val="2"/>
        <scheme val="none"/>
      </font>
      <numFmt numFmtId="3" formatCode="#,##0"/>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top style="medium">
          <color indexed="64"/>
        </top>
      </border>
    </dxf>
    <dxf>
      <border outline="0">
        <bottom style="medium">
          <color indexed="64"/>
        </bottom>
      </border>
    </dxf>
    <dxf>
      <font>
        <b val="0"/>
        <i val="0"/>
        <strike val="0"/>
        <condense val="0"/>
        <extend val="0"/>
        <outline val="0"/>
        <shadow val="0"/>
        <u val="none"/>
        <vertAlign val="baseline"/>
        <sz val="11"/>
        <color theme="0"/>
        <name val="Calibri"/>
        <family val="2"/>
        <scheme val="none"/>
      </font>
      <fill>
        <patternFill patternType="solid">
          <fgColor indexed="64"/>
          <bgColor theme="1"/>
        </patternFill>
      </fill>
      <alignment horizontal="general" vertical="center" textRotation="0" wrapText="1" indent="0" justifyLastLine="0" shrinkToFit="0" readingOrder="0"/>
    </dxf>
    <dxf>
      <numFmt numFmtId="166" formatCode="&quot;$&quot;#,##0.0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2" formatCode="&quot;$&quot;#,##0.00;[Red]\-&quot;$&quot;#,##0.00"/>
      <border diagonalUp="0" diagonalDown="0">
        <left/>
        <right/>
        <top style="thin">
          <color theme="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border outline="0">
        <left style="thin">
          <color theme="1"/>
        </left>
        <top style="thin">
          <color theme="1"/>
        </top>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numFmt numFmtId="166" formatCode="&quot;$&quot;#,##0.00"/>
    </dxf>
    <dxf>
      <numFmt numFmtId="12" formatCode="&quot;$&quot;#,##0.00;[Red]\-&quot;$&quot;#,##0.00"/>
    </dxf>
    <dxf>
      <numFmt numFmtId="12" formatCode="&quot;$&quot;#,##0.00;[Red]\-&quot;$&quot;#,##0.00"/>
    </dxf>
    <dxf>
      <numFmt numFmtId="12" formatCode="&quot;$&quot;#,##0.00;[Red]\-&quot;$&quot;#,##0.00"/>
    </dxf>
    <dxf>
      <numFmt numFmtId="166" formatCode="&quot;$&quot;#,##0.00"/>
    </dxf>
    <dxf>
      <numFmt numFmtId="166" formatCode="&quot;$&quot;#,##0.00"/>
    </dxf>
    <dxf>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border diagonalUp="0" diagonalDown="0" outline="0">
        <left style="thin">
          <color indexed="64"/>
        </left>
        <right style="thin">
          <color indexed="64"/>
        </right>
        <top style="thin">
          <color indexed="64"/>
        </top>
        <bottom style="thin">
          <color indexed="64"/>
        </bottom>
      </border>
    </dxf>
    <dxf>
      <numFmt numFmtId="166" formatCode="&quot;$&quot;#,##0.00"/>
    </dxf>
    <dxf>
      <numFmt numFmtId="166" formatCode="&quot;$&quot;#,##0.00"/>
    </dxf>
    <dxf>
      <fill>
        <patternFill patternType="none">
          <fgColor indexed="64"/>
          <bgColor auto="1"/>
        </patternFill>
      </fill>
    </dxf>
    <dxf>
      <numFmt numFmtId="166" formatCode="&quot;$&quot;#,##0.0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0" tint="-4.9989318521683403E-2"/>
        </patternFill>
      </fill>
      <border diagonalUp="0" diagonalDown="0">
        <left style="medium">
          <color theme="6" tint="0.59999389629810485"/>
        </left>
        <right/>
        <top style="medium">
          <color theme="6" tint="0.59999389629810485"/>
        </top>
        <bottom style="medium">
          <color theme="6" tint="0.59999389629810485"/>
        </bottom>
        <vertical style="medium">
          <color theme="6" tint="0.59999389629810485"/>
        </vertical>
        <horizontal style="medium">
          <color theme="6" tint="0.59999389629810485"/>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left style="medium">
          <color theme="6" tint="0.59999389629810485"/>
        </left>
        <right style="medium">
          <color theme="6" tint="0.59999389629810485"/>
        </right>
        <top style="medium">
          <color theme="6" tint="0.59999389629810485"/>
        </top>
        <bottom style="medium">
          <color theme="6" tint="0.59999389629810485"/>
        </bottom>
        <vertical style="medium">
          <color theme="6" tint="0.59999389629810485"/>
        </vertical>
        <horizontal style="medium">
          <color theme="6" tint="0.59999389629810485"/>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left style="medium">
          <color theme="6" tint="0.59999389629810485"/>
        </left>
        <right style="medium">
          <color theme="6" tint="0.59999389629810485"/>
        </right>
        <top style="medium">
          <color theme="6" tint="0.59999389629810485"/>
        </top>
        <bottom style="medium">
          <color theme="6" tint="0.59999389629810485"/>
        </bottom>
        <vertical style="medium">
          <color theme="6" tint="0.59999389629810485"/>
        </vertical>
        <horizontal style="medium">
          <color theme="6" tint="0.59999389629810485"/>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left style="medium">
          <color theme="6" tint="0.59999389629810485"/>
        </left>
        <right style="medium">
          <color theme="6" tint="0.59999389629810485"/>
        </right>
        <top style="medium">
          <color theme="6" tint="0.59999389629810485"/>
        </top>
        <bottom style="medium">
          <color theme="6" tint="0.59999389629810485"/>
        </bottom>
        <vertical style="medium">
          <color theme="6" tint="0.59999389629810485"/>
        </vertical>
        <horizontal style="medium">
          <color theme="6" tint="0.59999389629810485"/>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left style="medium">
          <color theme="6" tint="0.59999389629810485"/>
        </left>
        <right style="medium">
          <color theme="6" tint="0.59999389629810485"/>
        </right>
        <top style="medium">
          <color theme="6" tint="0.59999389629810485"/>
        </top>
        <bottom style="medium">
          <color theme="6" tint="0.59999389629810485"/>
        </bottom>
        <vertical style="medium">
          <color theme="6" tint="0.59999389629810485"/>
        </vertical>
        <horizontal style="medium">
          <color theme="6" tint="0.59999389629810485"/>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medium">
          <color theme="6" tint="0.59999389629810485"/>
        </right>
        <top style="medium">
          <color theme="6" tint="0.59999389629810485"/>
        </top>
        <bottom style="medium">
          <color theme="6" tint="0.59999389629810485"/>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style="medium">
          <color theme="6" tint="0.59999389629810485"/>
        </left>
        <right style="medium">
          <color theme="6" tint="0.59999389629810485"/>
        </right>
        <top style="medium">
          <color theme="6" tint="0.59999389629810485"/>
        </top>
        <bottom style="medium">
          <color theme="6" tint="0.59999389629810485"/>
        </bottom>
      </border>
    </dxf>
    <dxf>
      <border>
        <top style="medium">
          <color theme="6" tint="0.59999389629810485"/>
        </top>
      </border>
    </dxf>
    <dxf>
      <border diagonalUp="0" diagonalDown="0">
        <left style="medium">
          <color theme="6" tint="0.59999389629810485"/>
        </left>
        <right style="medium">
          <color theme="6" tint="0.59999389629810485"/>
        </right>
        <top style="medium">
          <color theme="6" tint="0.59999389629810485"/>
        </top>
        <bottom style="medium">
          <color theme="6" tint="0.59999389629810485"/>
        </bottom>
      </border>
    </dxf>
    <dxf>
      <alignment horizontal="general" vertical="bottom" textRotation="0" wrapText="1" indent="0" justifyLastLine="0" shrinkToFit="0" readingOrder="0"/>
    </dxf>
    <dxf>
      <border>
        <bottom style="medium">
          <color theme="6" tint="0.59999389629810485"/>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medium">
          <color theme="6" tint="0.59999389629810485"/>
        </left>
        <right style="medium">
          <color theme="6" tint="0.59999389629810485"/>
        </right>
        <top/>
        <bottom/>
        <vertical style="medium">
          <color theme="6" tint="0.59999389629810485"/>
        </vertical>
        <horizontal style="medium">
          <color theme="6" tint="0.59999389629810485"/>
        </horizontal>
      </border>
    </dxf>
  </dxfs>
  <tableStyles count="1" defaultTableStyle="TableStyleMedium2" defaultPivotStyle="PivotStyleLight16">
    <tableStyle name="Invisible" pivot="0" table="0" count="0" xr9:uid="{8CE2AC0F-C349-4D70-81F9-3805894274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38</xdr:col>
      <xdr:colOff>595169</xdr:colOff>
      <xdr:row>96</xdr:row>
      <xdr:rowOff>537</xdr:rowOff>
    </xdr:from>
    <xdr:to>
      <xdr:col>50</xdr:col>
      <xdr:colOff>188200</xdr:colOff>
      <xdr:row>106</xdr:row>
      <xdr:rowOff>17264</xdr:rowOff>
    </xdr:to>
    <xdr:pic>
      <xdr:nvPicPr>
        <xdr:cNvPr id="3" name="Picture 2">
          <a:extLst>
            <a:ext uri="{FF2B5EF4-FFF2-40B4-BE49-F238E27FC236}">
              <a16:creationId xmlns:a16="http://schemas.microsoft.com/office/drawing/2014/main" id="{7B0263D1-9728-C7EA-50D9-5BD715CDD755}"/>
            </a:ext>
          </a:extLst>
        </xdr:cNvPr>
        <xdr:cNvPicPr>
          <a:picLocks noChangeAspect="1"/>
        </xdr:cNvPicPr>
      </xdr:nvPicPr>
      <xdr:blipFill>
        <a:blip xmlns:r="http://schemas.openxmlformats.org/officeDocument/2006/relationships" r:embed="rId1"/>
        <a:stretch>
          <a:fillRect/>
        </a:stretch>
      </xdr:blipFill>
      <xdr:spPr>
        <a:xfrm>
          <a:off x="52601669" y="23310810"/>
          <a:ext cx="6857142" cy="2434920"/>
        </a:xfrm>
        <a:prstGeom prst="rect">
          <a:avLst/>
        </a:prstGeom>
      </xdr:spPr>
    </xdr:pic>
    <xdr:clientData/>
  </xdr:twoCellAnchor>
  <xdr:twoCellAnchor editAs="oneCell">
    <xdr:from>
      <xdr:col>38</xdr:col>
      <xdr:colOff>186480</xdr:colOff>
      <xdr:row>130</xdr:row>
      <xdr:rowOff>47932</xdr:rowOff>
    </xdr:from>
    <xdr:to>
      <xdr:col>50</xdr:col>
      <xdr:colOff>57001</xdr:colOff>
      <xdr:row>148</xdr:row>
      <xdr:rowOff>193713</xdr:rowOff>
    </xdr:to>
    <xdr:pic>
      <xdr:nvPicPr>
        <xdr:cNvPr id="17" name="Picture 3">
          <a:extLst>
            <a:ext uri="{FF2B5EF4-FFF2-40B4-BE49-F238E27FC236}">
              <a16:creationId xmlns:a16="http://schemas.microsoft.com/office/drawing/2014/main" id="{9A8685E9-4EBE-EF05-3816-3B1137167810}"/>
            </a:ext>
          </a:extLst>
        </xdr:cNvPr>
        <xdr:cNvPicPr>
          <a:picLocks noChangeAspect="1"/>
        </xdr:cNvPicPr>
      </xdr:nvPicPr>
      <xdr:blipFill>
        <a:blip xmlns:r="http://schemas.openxmlformats.org/officeDocument/2006/relationships" r:embed="rId2"/>
        <a:stretch>
          <a:fillRect/>
        </a:stretch>
      </xdr:blipFill>
      <xdr:spPr>
        <a:xfrm>
          <a:off x="56812605" y="31337557"/>
          <a:ext cx="7185722" cy="4374881"/>
        </a:xfrm>
        <a:prstGeom prst="rect">
          <a:avLst/>
        </a:prstGeom>
      </xdr:spPr>
    </xdr:pic>
    <xdr:clientData/>
  </xdr:twoCellAnchor>
  <xdr:twoCellAnchor editAs="oneCell">
    <xdr:from>
      <xdr:col>40</xdr:col>
      <xdr:colOff>58882</xdr:colOff>
      <xdr:row>67</xdr:row>
      <xdr:rowOff>103909</xdr:rowOff>
    </xdr:from>
    <xdr:to>
      <xdr:col>49</xdr:col>
      <xdr:colOff>473786</xdr:colOff>
      <xdr:row>82</xdr:row>
      <xdr:rowOff>206774</xdr:rowOff>
    </xdr:to>
    <xdr:pic>
      <xdr:nvPicPr>
        <xdr:cNvPr id="5" name="Picture 4">
          <a:extLst>
            <a:ext uri="{FF2B5EF4-FFF2-40B4-BE49-F238E27FC236}">
              <a16:creationId xmlns:a16="http://schemas.microsoft.com/office/drawing/2014/main" id="{2D7BD9F9-C14B-F0CF-401D-6A59EC757FF9}"/>
            </a:ext>
          </a:extLst>
        </xdr:cNvPr>
        <xdr:cNvPicPr>
          <a:picLocks noChangeAspect="1"/>
        </xdr:cNvPicPr>
      </xdr:nvPicPr>
      <xdr:blipFill>
        <a:blip xmlns:r="http://schemas.openxmlformats.org/officeDocument/2006/relationships" r:embed="rId3"/>
        <a:stretch>
          <a:fillRect/>
        </a:stretch>
      </xdr:blipFill>
      <xdr:spPr>
        <a:xfrm>
          <a:off x="58047082" y="14886709"/>
          <a:ext cx="5901305" cy="3531865"/>
        </a:xfrm>
        <a:prstGeom prst="rect">
          <a:avLst/>
        </a:prstGeom>
      </xdr:spPr>
    </xdr:pic>
    <xdr:clientData/>
  </xdr:twoCellAnchor>
  <xdr:twoCellAnchor editAs="oneCell">
    <xdr:from>
      <xdr:col>39</xdr:col>
      <xdr:colOff>1</xdr:colOff>
      <xdr:row>85</xdr:row>
      <xdr:rowOff>225136</xdr:rowOff>
    </xdr:from>
    <xdr:to>
      <xdr:col>49</xdr:col>
      <xdr:colOff>15764</xdr:colOff>
      <xdr:row>95</xdr:row>
      <xdr:rowOff>11271</xdr:rowOff>
    </xdr:to>
    <xdr:pic>
      <xdr:nvPicPr>
        <xdr:cNvPr id="6" name="Picture 5">
          <a:extLst>
            <a:ext uri="{FF2B5EF4-FFF2-40B4-BE49-F238E27FC236}">
              <a16:creationId xmlns:a16="http://schemas.microsoft.com/office/drawing/2014/main" id="{6FDE6CEF-D625-2905-7DBF-A67C17352DD0}"/>
            </a:ext>
          </a:extLst>
        </xdr:cNvPr>
        <xdr:cNvPicPr>
          <a:picLocks noChangeAspect="1"/>
        </xdr:cNvPicPr>
      </xdr:nvPicPr>
      <xdr:blipFill>
        <a:blip xmlns:r="http://schemas.openxmlformats.org/officeDocument/2006/relationships" r:embed="rId4"/>
        <a:stretch>
          <a:fillRect/>
        </a:stretch>
      </xdr:blipFill>
      <xdr:spPr>
        <a:xfrm>
          <a:off x="52612637" y="20868409"/>
          <a:ext cx="6047619" cy="2193651"/>
        </a:xfrm>
        <a:prstGeom prst="rect">
          <a:avLst/>
        </a:prstGeom>
      </xdr:spPr>
    </xdr:pic>
    <xdr:clientData/>
  </xdr:twoCellAnchor>
  <xdr:twoCellAnchor editAs="oneCell">
    <xdr:from>
      <xdr:col>39</xdr:col>
      <xdr:colOff>259772</xdr:colOff>
      <xdr:row>107</xdr:row>
      <xdr:rowOff>173182</xdr:rowOff>
    </xdr:from>
    <xdr:to>
      <xdr:col>50</xdr:col>
      <xdr:colOff>15430</xdr:colOff>
      <xdr:row>113</xdr:row>
      <xdr:rowOff>207345</xdr:rowOff>
    </xdr:to>
    <xdr:pic>
      <xdr:nvPicPr>
        <xdr:cNvPr id="7" name="Picture 6">
          <a:extLst>
            <a:ext uri="{FF2B5EF4-FFF2-40B4-BE49-F238E27FC236}">
              <a16:creationId xmlns:a16="http://schemas.microsoft.com/office/drawing/2014/main" id="{720A35B0-940D-603D-83BD-13E8A5B267E2}"/>
            </a:ext>
          </a:extLst>
        </xdr:cNvPr>
        <xdr:cNvPicPr>
          <a:picLocks noChangeAspect="1"/>
        </xdr:cNvPicPr>
      </xdr:nvPicPr>
      <xdr:blipFill>
        <a:blip xmlns:r="http://schemas.openxmlformats.org/officeDocument/2006/relationships" r:embed="rId5"/>
        <a:stretch>
          <a:fillRect/>
        </a:stretch>
      </xdr:blipFill>
      <xdr:spPr>
        <a:xfrm>
          <a:off x="52872408" y="26150455"/>
          <a:ext cx="6393651" cy="1482539"/>
        </a:xfrm>
        <a:prstGeom prst="rect">
          <a:avLst/>
        </a:prstGeom>
      </xdr:spPr>
    </xdr:pic>
    <xdr:clientData/>
  </xdr:twoCellAnchor>
  <xdr:twoCellAnchor editAs="oneCell">
    <xdr:from>
      <xdr:col>39</xdr:col>
      <xdr:colOff>303790</xdr:colOff>
      <xdr:row>113</xdr:row>
      <xdr:rowOff>221527</xdr:rowOff>
    </xdr:from>
    <xdr:to>
      <xdr:col>49</xdr:col>
      <xdr:colOff>575188</xdr:colOff>
      <xdr:row>130</xdr:row>
      <xdr:rowOff>57118</xdr:rowOff>
    </xdr:to>
    <xdr:pic>
      <xdr:nvPicPr>
        <xdr:cNvPr id="18" name="Picture 7">
          <a:extLst>
            <a:ext uri="{FF2B5EF4-FFF2-40B4-BE49-F238E27FC236}">
              <a16:creationId xmlns:a16="http://schemas.microsoft.com/office/drawing/2014/main" id="{1EF095E9-1800-4181-4E03-90A78B5ECD98}"/>
            </a:ext>
          </a:extLst>
        </xdr:cNvPr>
        <xdr:cNvPicPr>
          <a:picLocks noChangeAspect="1"/>
        </xdr:cNvPicPr>
      </xdr:nvPicPr>
      <xdr:blipFill>
        <a:blip xmlns:r="http://schemas.openxmlformats.org/officeDocument/2006/relationships" r:embed="rId6"/>
        <a:stretch>
          <a:fillRect/>
        </a:stretch>
      </xdr:blipFill>
      <xdr:spPr>
        <a:xfrm>
          <a:off x="57549040" y="27463027"/>
          <a:ext cx="6367398" cy="3829741"/>
        </a:xfrm>
        <a:prstGeom prst="rect">
          <a:avLst/>
        </a:prstGeom>
      </xdr:spPr>
    </xdr:pic>
    <xdr:clientData/>
  </xdr:twoCellAnchor>
  <xdr:twoCellAnchor editAs="oneCell">
    <xdr:from>
      <xdr:col>38</xdr:col>
      <xdr:colOff>355022</xdr:colOff>
      <xdr:row>153</xdr:row>
      <xdr:rowOff>58448</xdr:rowOff>
    </xdr:from>
    <xdr:to>
      <xdr:col>47</xdr:col>
      <xdr:colOff>587193</xdr:colOff>
      <xdr:row>157</xdr:row>
      <xdr:rowOff>226878</xdr:rowOff>
    </xdr:to>
    <xdr:pic>
      <xdr:nvPicPr>
        <xdr:cNvPr id="15" name="Picture 8">
          <a:extLst>
            <a:ext uri="{FF2B5EF4-FFF2-40B4-BE49-F238E27FC236}">
              <a16:creationId xmlns:a16="http://schemas.microsoft.com/office/drawing/2014/main" id="{378E86BE-C2A6-FE0B-0FBD-3EACE5CD7DA1}"/>
            </a:ext>
          </a:extLst>
        </xdr:cNvPr>
        <xdr:cNvPicPr>
          <a:picLocks noChangeAspect="1"/>
        </xdr:cNvPicPr>
      </xdr:nvPicPr>
      <xdr:blipFill>
        <a:blip xmlns:r="http://schemas.openxmlformats.org/officeDocument/2006/relationships" r:embed="rId7"/>
        <a:stretch>
          <a:fillRect/>
        </a:stretch>
      </xdr:blipFill>
      <xdr:spPr>
        <a:xfrm>
          <a:off x="56981147" y="36824948"/>
          <a:ext cx="5712221" cy="1105055"/>
        </a:xfrm>
        <a:prstGeom prst="rect">
          <a:avLst/>
        </a:prstGeom>
      </xdr:spPr>
    </xdr:pic>
    <xdr:clientData/>
  </xdr:twoCellAnchor>
  <xdr:twoCellAnchor editAs="oneCell">
    <xdr:from>
      <xdr:col>39</xdr:col>
      <xdr:colOff>309562</xdr:colOff>
      <xdr:row>158</xdr:row>
      <xdr:rowOff>214313</xdr:rowOff>
    </xdr:from>
    <xdr:to>
      <xdr:col>48</xdr:col>
      <xdr:colOff>396009</xdr:colOff>
      <xdr:row>164</xdr:row>
      <xdr:rowOff>78787</xdr:rowOff>
    </xdr:to>
    <xdr:pic>
      <xdr:nvPicPr>
        <xdr:cNvPr id="14" name="Picture 9">
          <a:extLst>
            <a:ext uri="{FF2B5EF4-FFF2-40B4-BE49-F238E27FC236}">
              <a16:creationId xmlns:a16="http://schemas.microsoft.com/office/drawing/2014/main" id="{518C27B8-6500-EF85-0543-EAD7E9A573AA}"/>
            </a:ext>
          </a:extLst>
        </xdr:cNvPr>
        <xdr:cNvPicPr>
          <a:picLocks noChangeAspect="1"/>
        </xdr:cNvPicPr>
      </xdr:nvPicPr>
      <xdr:blipFill>
        <a:blip xmlns:r="http://schemas.openxmlformats.org/officeDocument/2006/relationships" r:embed="rId8"/>
        <a:stretch>
          <a:fillRect/>
        </a:stretch>
      </xdr:blipFill>
      <xdr:spPr>
        <a:xfrm>
          <a:off x="57554812" y="38171438"/>
          <a:ext cx="5572847" cy="1274174"/>
        </a:xfrm>
        <a:prstGeom prst="rect">
          <a:avLst/>
        </a:prstGeom>
      </xdr:spPr>
    </xdr:pic>
    <xdr:clientData/>
  </xdr:twoCellAnchor>
  <xdr:twoCellAnchor editAs="oneCell">
    <xdr:from>
      <xdr:col>39</xdr:col>
      <xdr:colOff>89478</xdr:colOff>
      <xdr:row>146</xdr:row>
      <xdr:rowOff>184727</xdr:rowOff>
    </xdr:from>
    <xdr:to>
      <xdr:col>48</xdr:col>
      <xdr:colOff>302474</xdr:colOff>
      <xdr:row>152</xdr:row>
      <xdr:rowOff>170701</xdr:rowOff>
    </xdr:to>
    <xdr:pic>
      <xdr:nvPicPr>
        <xdr:cNvPr id="16" name="Picture 10">
          <a:extLst>
            <a:ext uri="{FF2B5EF4-FFF2-40B4-BE49-F238E27FC236}">
              <a16:creationId xmlns:a16="http://schemas.microsoft.com/office/drawing/2014/main" id="{2AA48806-FBC5-60A5-693F-D248DCE95F3B}"/>
            </a:ext>
          </a:extLst>
        </xdr:cNvPr>
        <xdr:cNvPicPr>
          <a:picLocks noChangeAspect="1"/>
        </xdr:cNvPicPr>
      </xdr:nvPicPr>
      <xdr:blipFill>
        <a:blip xmlns:r="http://schemas.openxmlformats.org/officeDocument/2006/relationships" r:embed="rId9"/>
        <a:stretch>
          <a:fillRect/>
        </a:stretch>
      </xdr:blipFill>
      <xdr:spPr>
        <a:xfrm>
          <a:off x="57334728" y="35284352"/>
          <a:ext cx="5699396" cy="13956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E72E1CB-16BC-4A84-89BE-C69EAB68E56A}" name="Table41" displayName="Table41" ref="C66:I82" totalsRowShown="0" headerRowDxfId="94" dataDxfId="92" headerRowBorderDxfId="93" tableBorderDxfId="91" totalsRowBorderDxfId="90">
  <autoFilter ref="C66:I82" xr:uid="{5E72E1CB-16BC-4A84-89BE-C69EAB68E56A}"/>
  <tableColumns count="7">
    <tableColumn id="10" xr3:uid="{46D7BF36-4D47-4ACF-8C9C-1A9D8588C6CA}" name="Variable Name" dataDxfId="89"/>
    <tableColumn id="2" xr3:uid="{97CD17E0-1AA7-4669-A950-4F79C37883F1}" name="Description" dataDxfId="88"/>
    <tableColumn id="4" xr3:uid="{A33F3F50-DF23-45A2-85DB-4F48628379F2}" name="Data Format" dataDxfId="87"/>
    <tableColumn id="5" xr3:uid="{3874210B-E497-4E16-8E20-B23E8B65D613}" name="Allowed Values" dataDxfId="86"/>
    <tableColumn id="6" xr3:uid="{C656D135-2714-453D-A560-4489412745A5}" name="Notes" dataDxfId="85"/>
    <tableColumn id="7" xr3:uid="{02E2CAAB-FB11-4B57-BBCA-A44C75E6222B}" name="Relevant Ministry Links" dataDxfId="84" dataCellStyle="Hyperlink"/>
    <tableColumn id="8" xr3:uid="{98C01B89-1571-4DB1-8BE6-BB29A1238FD9}" name="Additional info" dataDxfId="8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6C908F-D9FD-4AD3-8154-DBA1D3C1069F}" name="Rate_Table" displayName="Rate_Table" ref="A74:E98" totalsRowShown="0" headerRowDxfId="82" headerRowBorderDxfId="81" tableBorderDxfId="80" totalsRowBorderDxfId="79">
  <autoFilter ref="A74:E98" xr:uid="{206C908F-D9FD-4AD3-8154-DBA1D3C1069F}"/>
  <tableColumns count="5">
    <tableColumn id="1" xr3:uid="{A6B09EED-FD9C-4C34-A5F1-C448491466B7}" name="Component" dataDxfId="78"/>
    <tableColumn id="2" xr3:uid="{793C500B-B8F2-4301-8524-3BEE994EDCC6}" name="Sub Component" dataDxfId="77"/>
    <tableColumn id="3" xr3:uid="{600C532D-F21E-45D0-81FA-B869F536FB48}" name="Student Type" dataDxfId="76"/>
    <tableColumn id="4" xr3:uid="{6D19BD7F-1A52-463F-847B-BE87488DDDA9}" name="School Type" dataDxfId="75"/>
    <tableColumn id="5" xr3:uid="{4AFCF848-086D-4A2A-868D-D0A1546359D8}" name="Rate" dataDxfId="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CCCE06-00EA-4489-BE37-1F8D161CF8EE}" name="Table9" displayName="Table9" ref="H74:J752" totalsRowShown="0" headerRowDxfId="73">
  <autoFilter ref="H74:J752" xr:uid="{81CCCE06-00EA-4489-BE37-1F8D161CF8EE}"/>
  <tableColumns count="3">
    <tableColumn id="1" xr3:uid="{5DEFCA1A-783C-4A0F-A06C-21236E184FF7}" name="Sub Component"/>
    <tableColumn id="2" xr3:uid="{4A1C953F-5C68-4359-A662-78C7D066534E}" name="EQI"/>
    <tableColumn id="3" xr3:uid="{C2BE39D5-AF0C-4ABA-A0F9-AE27BDEEAD13}" name="Rate" dataDxfId="72"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15149E-3F66-42DD-A507-FFD4566B59D1}" name="Table10" displayName="Table10" ref="L74:M77" totalsRowShown="0">
  <autoFilter ref="L74:M77" xr:uid="{5315149E-3F66-42DD-A507-FFD4566B59D1}"/>
  <tableColumns count="2">
    <tableColumn id="1" xr3:uid="{718F5901-89D8-486C-9803-80D504D35E05}" name="Sub Component"/>
    <tableColumn id="2" xr3:uid="{9E330A90-F54C-4027-9E1D-4B9825A68217}" name="Rate" dataDxfId="71"/>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B5B329-A8B5-4C77-AF78-19D9C272D14D}" name="Table12" displayName="Table12" ref="O74:Q98" totalsRowShown="0">
  <autoFilter ref="O74:Q98" xr:uid="{8DB5B329-A8B5-4C77-AF78-19D9C272D14D}"/>
  <tableColumns count="3">
    <tableColumn id="1" xr3:uid="{5EF38AA7-F1FA-4BAC-B0FD-F3471E046103}" name="Funding Component" dataDxfId="70"/>
    <tableColumn id="2" xr3:uid="{147E2D33-E1A2-4E24-98B1-CEC2C1BB4938}" name="Category" dataDxfId="69"/>
    <tableColumn id="3" xr3:uid="{302081A7-ED34-498A-9DF3-01FA3771214A}" name="Rate" dataDxfId="6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790C24-CE8F-4282-8722-B7C174F18368}" name="Table2" displayName="Table2" ref="S74:V90" totalsRowShown="0">
  <autoFilter ref="S74:V90" xr:uid="{A9790C24-CE8F-4282-8722-B7C174F18368}"/>
  <tableColumns count="4">
    <tableColumn id="1" xr3:uid="{06144BCD-977C-41D0-A2BF-8B325AE16466}" name="School Type"/>
    <tableColumn id="2" xr3:uid="{B0474314-F2A1-46D6-B9F3-1204EE700F65}" name="Roll"/>
    <tableColumn id="3" xr3:uid="{C581B86A-43D7-4984-9E87-3EAE0BFC8180}" name="Base" dataDxfId="67"/>
    <tableColumn id="4" xr3:uid="{9C8EE3C8-3B3B-4549-AB9F-4422F3FD16A6}" name="Per Pupil" dataDxfId="66"/>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4AB792C-612C-49B3-B9A7-1AC69F1EC6CD}" name="services_rates" displayName="services_rates" ref="X74:Y78" totalsRowShown="0">
  <autoFilter ref="X74:Y78" xr:uid="{44AB792C-612C-49B3-B9A7-1AC69F1EC6CD}"/>
  <tableColumns count="2">
    <tableColumn id="1" xr3:uid="{C8C279D2-E7CF-49C5-82DF-F938BA6D46C6}" name="Service"/>
    <tableColumn id="2" xr3:uid="{309B3E15-91C9-435E-9869-BB2EA2235896}" name="Per-student rate" dataDxfId="6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24F0397-3100-450E-A370-CABA5320734D}" name="estab_rates" displayName="estab_rates" ref="AA74:AC77" totalsRowShown="0">
  <autoFilter ref="AA74:AC77" xr:uid="{424F0397-3100-450E-A370-CABA5320734D}"/>
  <tableColumns count="3">
    <tableColumn id="1" xr3:uid="{BB3AC146-ABB8-49F1-B2C3-B346D9E7097E}" name="Sector"/>
    <tableColumn id="2" xr3:uid="{45A51A67-2B56-402F-BE24-2B8CE818A831}" name="1-200 roll" dataDxfId="64"/>
    <tableColumn id="3" xr3:uid="{E5925CE5-B55C-4D86-A276-5B505E7D0951}" name="200+ roll" dataDxfId="6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B220BDA-E68F-4385-BBEC-6A6C8F981B1C}" name="estab_mgmt" displayName="estab_mgmt" ref="AA81:AC84" totalsRowShown="0">
  <autoFilter ref="AA81:AC84" xr:uid="{9B220BDA-E68F-4385-BBEC-6A6C8F981B1C}"/>
  <tableColumns count="3">
    <tableColumn id="1" xr3:uid="{A1043C93-43E5-4A3E-A00F-72F8C0C517C1}" name="Roles"/>
    <tableColumn id="2" xr3:uid="{64C38083-DEBC-45BF-B115-9FA197139C78}" name="Sector"/>
    <tableColumn id="3" xr3:uid="{B24CBC37-4440-48D5-97A2-282A30B5265D}" name="Per-student rate" dataDxfId="6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096F6D0-B2A9-49F3-BFA2-4254EE1AA18F}" name="estab_staffing" displayName="estab_staffing" ref="AA88:AB91" totalsRowShown="0" headerRowDxfId="61" tableBorderDxfId="60">
  <autoFilter ref="AA88:AB91" xr:uid="{D096F6D0-B2A9-49F3-BFA2-4254EE1AA18F}"/>
  <tableColumns count="2">
    <tableColumn id="1" xr3:uid="{D3B41551-FBC0-42E3-9748-2E6B310B5B7F}" name="Sector" dataDxfId="59"/>
    <tableColumn id="2" xr3:uid="{4E478A91-CC7E-4D2C-A4A5-062B06FFFC7A}" name="Rate" dataDxfId="58"/>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68C4D43-8448-49D2-811A-86F1A4D8CC07}" name="Rate_Table16" displayName="Rate_Table16" ref="S94:U100" totalsRowShown="0" headerRowDxfId="57" headerRowBorderDxfId="56" tableBorderDxfId="55" totalsRowBorderDxfId="54">
  <autoFilter ref="S94:U100" xr:uid="{568C4D43-8448-49D2-811A-86F1A4D8CC07}"/>
  <tableColumns count="3">
    <tableColumn id="3" xr3:uid="{9FF97700-C53F-4635-B558-B442EAE4FA48}" name="Student Type" dataDxfId="53"/>
    <tableColumn id="4" xr3:uid="{9A1D6189-659E-4A53-AC24-5A4D345A6863}" name="School Type" dataDxfId="52"/>
    <tableColumn id="5" xr3:uid="{DE208FD6-55A9-4F59-B9FA-954EB52EC918}" name="Rate" dataDxfId="5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9F16BB7-76E5-4C4C-A7DA-778900A518CE}" name="Table17" displayName="Table17" ref="AA95:AD112" totalsRowShown="0" headerRowDxfId="50" headerRowBorderDxfId="49" tableBorderDxfId="48">
  <autoFilter ref="AA95:AD112" xr:uid="{69F16BB7-76E5-4C4C-A7DA-778900A518CE}"/>
  <tableColumns count="4">
    <tableColumn id="1" xr3:uid="{9AE546E1-CA80-4E39-BCDF-C7701550C5E1}" name="U-GRADE" dataDxfId="47"/>
    <tableColumn id="2" xr3:uid="{063F19F7-426B-4B4F-9131-C40A5DB70315}" name="Minimum roll" dataDxfId="46"/>
    <tableColumn id="3" xr3:uid="{CA710839-44ED-4E14-843A-1508F5210330}" name="Max roll" dataDxfId="45"/>
    <tableColumn id="4" xr3:uid="{87428B89-B94E-439A-AD04-2D4AC897395E}" name="Funding" dataDxfId="44"/>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DF9296-858B-4F10-AF65-D14E8D2E6971}" name="estab_rates19" displayName="estab_rates19" ref="AG74:AI80" totalsRowShown="0" dataDxfId="43">
  <autoFilter ref="AG74:AI80" xr:uid="{99DF9296-858B-4F10-AF65-D14E8D2E6971}"/>
  <tableColumns count="3">
    <tableColumn id="1" xr3:uid="{90504814-2EB1-4EA1-83A4-96C33549D3A2}" name="School type" dataDxfId="42"/>
    <tableColumn id="2" xr3:uid="{ACE6FC26-8E0F-49FB-851D-62529A4D342C}" name="Student type" dataDxfId="41"/>
    <tableColumn id="3" xr3:uid="{2D079FF2-9B27-4143-9F66-6FD0D920690E}" name="Rate" dataDxfId="40"/>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18F35B3-61B5-4B4B-8CA7-52EF7983279F}" name="estab_rates1920" displayName="estab_rates1920" ref="AG84:AK109" totalsRowShown="0" dataDxfId="39">
  <autoFilter ref="AG84:AK109" xr:uid="{D18F35B3-61B5-4B4B-8CA7-52EF7983279F}"/>
  <tableColumns count="5">
    <tableColumn id="1" xr3:uid="{3B0DCFEC-6B17-46E7-BE1F-90ED20B7FA96}" name="School type" dataDxfId="38"/>
    <tableColumn id="2" xr3:uid="{3918BF0C-4DFC-41C6-A904-691BA974ADB6}" name="Student type" dataDxfId="37"/>
    <tableColumn id="3" xr3:uid="{AA4FCD30-8195-4604-93C1-03A41808B8C6}" name="Property Type" dataDxfId="36"/>
    <tableColumn id="5" xr3:uid="{062DC0AB-3035-4469-AD30-1BA01D14E310}" name="Area_Type" dataDxfId="35"/>
    <tableColumn id="4" xr3:uid="{02CA40E8-AB8F-4907-9942-06673D86B869}" name="Rate" dataDxfId="34"/>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33C1BF6-39C5-4BAE-BC4C-0D39E8CE83F9}" name="estab_rates19202122" displayName="estab_rates19202122" ref="AG112:AI118" totalsRowShown="0" dataDxfId="33">
  <autoFilter ref="AG112:AI118" xr:uid="{933C1BF6-39C5-4BAE-BC4C-0D39E8CE83F9}"/>
  <tableColumns count="3">
    <tableColumn id="1" xr3:uid="{73BEB27E-2257-4AD2-8B86-700219487ABE}" name="School type" dataDxfId="32"/>
    <tableColumn id="2" xr3:uid="{B924416A-0446-41D0-9267-E4EA0AF6A2BA}" name="Student type" dataDxfId="31"/>
    <tableColumn id="3" xr3:uid="{E2D03504-1B36-4E07-97E5-7A1B1B3D477C}" name="Rate" dataDxfId="30"/>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F262B1E-DA7B-45B5-8C7D-0A002B18A57B}" name="Table22" displayName="Table22" ref="AA115:AB118" totalsRowShown="0" headerRowDxfId="29" dataDxfId="28" tableBorderDxfId="27">
  <autoFilter ref="AA115:AB118" xr:uid="{4F262B1E-DA7B-45B5-8C7D-0A002B18A57B}"/>
  <tableColumns count="2">
    <tableColumn id="1" xr3:uid="{D8D30915-08EB-4DEB-98C1-BCF7CD23ED83}" name="School type" dataDxfId="26"/>
    <tableColumn id="2" xr3:uid="{9A3F5725-428B-4D86-8635-297FD49B76B2}" name="Rate" dataDxfId="25"/>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70E5344-DE02-4DFF-8561-8FD61424D42C}" name="Table2240" displayName="Table2240" ref="AA121:AC127" totalsRowShown="0" headerRowDxfId="24" dataDxfId="23" tableBorderDxfId="22">
  <autoFilter ref="AA121:AC127" xr:uid="{470E5344-DE02-4DFF-8561-8FD61424D42C}"/>
  <tableColumns count="3">
    <tableColumn id="1" xr3:uid="{28637D8D-0151-4C85-855F-814FF857675F}" name="School type" dataDxfId="21"/>
    <tableColumn id="2" xr3:uid="{DDDEF1AE-501D-49FD-89BD-C05A7E8C0723}" name="Student Type" dataDxfId="20"/>
    <tableColumn id="3" xr3:uid="{2111D752-61CB-4CBD-A1D6-24F3D38F7802}" name="Rate" dataDxfId="19"/>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4489865-BD76-4FC8-ABA1-08B7BD1624FC}" name="Table2241" displayName="Table2241" ref="AA130:AB133" totalsRowShown="0" headerRowDxfId="18" dataDxfId="17" tableBorderDxfId="16">
  <autoFilter ref="AA130:AB133" xr:uid="{44489865-BD76-4FC8-ABA1-08B7BD1624FC}"/>
  <tableColumns count="2">
    <tableColumn id="1" xr3:uid="{171F020D-9ED2-4983-A173-548464F0F9F3}" name="School type" dataDxfId="15"/>
    <tableColumn id="2" xr3:uid="{5DDB986A-E187-4E40-862C-72977401C64B}" name="Rate" dataDxfId="14"/>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1B0755-0EA0-4CEC-A30C-513BB50D0CF8}" name="Table5" displayName="Table5" ref="U6:U9" totalsRowShown="0">
  <autoFilter ref="U6:U9" xr:uid="{F51B0755-0EA0-4CEC-A30C-513BB50D0CF8}"/>
  <tableColumns count="1">
    <tableColumn id="1" xr3:uid="{48875069-6294-4A28-9190-00D45BF6EF55}" name="School Typ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B66F8A6-E2C8-4571-93C1-914D3D6C5427}" name="Table7" displayName="Table7" ref="W6:W12" totalsRowShown="0" headerRowDxfId="13">
  <autoFilter ref="W6:W12" xr:uid="{2B66F8A6-E2C8-4571-93C1-914D3D6C5427}"/>
  <tableColumns count="1">
    <tableColumn id="1" xr3:uid="{F7DA8B49-939B-4040-9764-AE98EB7E7EA8}" name="Vandalism"/>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DAD1A2-A338-4943-8781-76D29F0D3E36}" name="new_school" displayName="new_school" ref="AA6:AA8" totalsRowShown="0">
  <autoFilter ref="AA6:AA8" xr:uid="{5ADAD1A2-A338-4943-8781-76D29F0D3E36}"/>
  <tableColumns count="1">
    <tableColumn id="1" xr3:uid="{FB55560F-FD57-4332-B677-BCF1BBE14A97}" name="New school"/>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F55A5A-96BF-4A15-A30D-8B57DC9A9FDC}" name="Table23" displayName="Table23" ref="AC6:AC9" totalsRowShown="0" headerRowDxfId="12" headerRowBorderDxfId="11" tableBorderDxfId="10" totalsRowBorderDxfId="9">
  <autoFilter ref="AC6:AC9" xr:uid="{15F55A5A-96BF-4A15-A30D-8B57DC9A9FDC}"/>
  <tableColumns count="1">
    <tableColumn id="1" xr3:uid="{FB1649B5-6E64-48A7-A8B3-4F00D4750003}" name="Property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CF293DE-50C5-4004-B28D-394874A3E2B9}" name="Table38" displayName="Table38" ref="AG6:AG8" totalsRowShown="0" headerRowDxfId="8">
  <autoFilter ref="AG6:AG8" xr:uid="{9CF293DE-50C5-4004-B28D-394874A3E2B9}"/>
  <tableColumns count="1">
    <tableColumn id="1" xr3:uid="{098C150D-14C1-437E-A5BE-4F1A5FC49500}" name="Area Classificatio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F04264E-E536-4E79-9D6C-479E94AB7BDE}" name="new_school43" displayName="new_school43" ref="AE6:AE8" totalsRowShown="0">
  <autoFilter ref="AE6:AE8" xr:uid="{5F04264E-E536-4E79-9D6C-479E94AB7BDE}"/>
  <tableColumns count="1">
    <tableColumn id="1" xr3:uid="{D9D049B2-776E-48A4-9B1C-07AEE7032B64}" name="Inclusion_In_Risk_Management"/>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4941777-0314-4D6F-8FBF-809B1ADE9C9B}" name="new_school4344" displayName="new_school4344" ref="Y6:Y8" totalsRowShown="0">
  <autoFilter ref="Y6:Y8" xr:uid="{54941777-0314-4D6F-8FBF-809B1ADE9C9B}"/>
  <tableColumns count="1">
    <tableColumn id="1" xr3:uid="{4C7D2A45-E7A9-42D6-BE8F-A28112B184C2}" name="Inclusion_In_Donations_Scheme"/>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55F1D58-B5EF-483B-A30E-70C9BB68BF6D}" name="Table13" displayName="Table13" ref="B4:D15" totalsRowShown="0" headerRowDxfId="7" dataDxfId="5" headerRowBorderDxfId="6" tableBorderDxfId="4" totalsRowBorderDxfId="3">
  <autoFilter ref="B4:D15" xr:uid="{855F1D58-B5EF-483B-A30E-70C9BB68BF6D}"/>
  <sortState xmlns:xlrd2="http://schemas.microsoft.com/office/spreadsheetml/2017/richdata2" ref="B5:D6">
    <sortCondition ref="B2"/>
  </sortState>
  <tableColumns count="3">
    <tableColumn id="2" xr3:uid="{3D3C549F-B72B-4591-8335-81539500254A}" name="Service / programme" dataDxfId="2"/>
    <tableColumn id="1" xr3:uid="{238D7737-04E6-48C2-B068-327D1F39A8FE}" name="Current Description" dataDxfId="1"/>
    <tableColumn id="10" xr3:uid="{25DBD4B2-26D0-4CDD-8084-182615429E8D}" name="Grouping" dataDxfId="0"/>
  </tableColumns>
  <tableStyleInfo showFirstColumn="0" showLastColumn="0" showRowStripes="1" showColumnStripes="0"/>
</table>
</file>

<file path=xl/theme/theme1.xml><?xml version="1.0" encoding="utf-8"?>
<a:theme xmlns:a="http://schemas.openxmlformats.org/drawingml/2006/main" name="Office Theme">
  <a:themeElements>
    <a:clrScheme name="Blue Kahurangi">
      <a:dk1>
        <a:sysClr val="windowText" lastClr="000000"/>
      </a:dk1>
      <a:lt1>
        <a:sysClr val="window" lastClr="FFFFFF"/>
      </a:lt1>
      <a:dk2>
        <a:srgbClr val="44546A"/>
      </a:dk2>
      <a:lt2>
        <a:srgbClr val="E7E6E6"/>
      </a:lt2>
      <a:accent1>
        <a:srgbClr val="2A6EBB"/>
      </a:accent1>
      <a:accent2>
        <a:srgbClr val="21419A"/>
      </a:accent2>
      <a:accent3>
        <a:srgbClr val="6E99D4"/>
      </a:accent3>
      <a:accent4>
        <a:srgbClr val="C5D6E8"/>
      </a:accent4>
      <a:accent5>
        <a:srgbClr val="F47721"/>
      </a:accent5>
      <a:accent6>
        <a:srgbClr val="532E8F"/>
      </a:accent6>
      <a:hlink>
        <a:srgbClr val="21419A"/>
      </a:hlink>
      <a:folHlink>
        <a:srgbClr val="DC291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harterschools.govt.nz/information-for-sponsors/" TargetMode="External"/><Relationship Id="rId1" Type="http://schemas.openxmlformats.org/officeDocument/2006/relationships/hyperlink" Target="https://www.education.govt.nz/school/funding-and-financials/resourcing/operational-funding/how-operational-funding-is-calculated-resourcing-rol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ducation.govt.nz/school/funding-and-financials/fees-charges-and-donations/" TargetMode="External"/><Relationship Id="rId3" Type="http://schemas.openxmlformats.org/officeDocument/2006/relationships/hyperlink" Target="https://www.education.govt.nz/our-work/changes-in-education/equity-index/" TargetMode="External"/><Relationship Id="rId7" Type="http://schemas.openxmlformats.org/officeDocument/2006/relationships/hyperlink" Target="https://www.education.govt.nz/school/funding-and-financials/resourcing/operational-funding/the-risk-management-scheme-contents-and-liability-insurance/" TargetMode="External"/><Relationship Id="rId12" Type="http://schemas.openxmlformats.org/officeDocument/2006/relationships/table" Target="../tables/table1.xml"/><Relationship Id="rId2" Type="http://schemas.openxmlformats.org/officeDocument/2006/relationships/hyperlink" Target="https://parents.education.govt.nz/primary-school/schooling-in-nz/different-types-of-primary-and-intermediate-schools/" TargetMode="External"/><Relationship Id="rId1" Type="http://schemas.openxmlformats.org/officeDocument/2006/relationships/hyperlink" Target="https://www.legislation.govt.nz/bill/government/2024/0066/latest/LMS965363.html?search=sw_096be8ed81e5a7f4_primary_25_se&amp;p=1&amp;sr=0" TargetMode="External"/><Relationship Id="rId6" Type="http://schemas.openxmlformats.org/officeDocument/2006/relationships/hyperlink" Target="https://www.education.govt.nz/school/funding-and-financials/resourcing/operational-funding/operational-funding-components/" TargetMode="External"/><Relationship Id="rId11" Type="http://schemas.openxmlformats.org/officeDocument/2006/relationships/printerSettings" Target="../printerSettings/printerSettings1.bin"/><Relationship Id="rId5" Type="http://schemas.openxmlformats.org/officeDocument/2006/relationships/hyperlink" Target="https://www.education.govt.nz/our-work/our-role-and-our-people/education-in-nz/" TargetMode="External"/><Relationship Id="rId10" Type="http://schemas.openxmlformats.org/officeDocument/2006/relationships/hyperlink" Target="https://www.education.govt.nz/school/funding-and-financials/resourcing/operational-funding/operational-funding-components/" TargetMode="External"/><Relationship Id="rId4" Type="http://schemas.openxmlformats.org/officeDocument/2006/relationships/hyperlink" Target="https://www.education.govt.nz/our-work/changes-in-education/equity-index/faq-isolation-index-changes/" TargetMode="External"/><Relationship Id="rId9" Type="http://schemas.openxmlformats.org/officeDocument/2006/relationships/hyperlink" Target="https://www.education.govt.nz/school/funding-and-financials/resourcing/operational-funding/operational-funding-componen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ducation.govt.nz/school/funding-and-financials/resourcing/operational-funding/operational-funding-components/" TargetMode="External"/><Relationship Id="rId13" Type="http://schemas.openxmlformats.org/officeDocument/2006/relationships/hyperlink" Target="https://www.education.govt.nz/school/funding-and-financials/resourcing/operational-funding/operational-funding-components/" TargetMode="External"/><Relationship Id="rId18" Type="http://schemas.openxmlformats.org/officeDocument/2006/relationships/hyperlink" Target="https://www.education.govt.nz/school/funding-and-financials/resourcing/operational-funding/operational-funding-components/" TargetMode="External"/><Relationship Id="rId26" Type="http://schemas.openxmlformats.org/officeDocument/2006/relationships/hyperlink" Target="https://www.education.govt.nz/school/funding-and-financials/funding/furniture-and-equipment-funding-for-schools/" TargetMode="External"/><Relationship Id="rId3" Type="http://schemas.openxmlformats.org/officeDocument/2006/relationships/hyperlink" Target="https://www.education.govt.nz/school/funding-and-financials/resourcing/operational-funding/operational-funding-components/" TargetMode="External"/><Relationship Id="rId21" Type="http://schemas.openxmlformats.org/officeDocument/2006/relationships/hyperlink" Target="https://www.education.govt.nz/school/funding-and-financials/resourcing/non-teaching-staff-settlements-and-funding/" TargetMode="External"/><Relationship Id="rId7" Type="http://schemas.openxmlformats.org/officeDocument/2006/relationships/hyperlink" Target="https://www.charterschools.govt.nz/assets/Uploads/20240812-CSA-funding-factsheet.pdf" TargetMode="External"/><Relationship Id="rId12" Type="http://schemas.openxmlformats.org/officeDocument/2006/relationships/hyperlink" Target="https://www.education.govt.nz/school/funding-and-financials/resourcing/operational-funding/operational-funding-components/" TargetMode="External"/><Relationship Id="rId17" Type="http://schemas.openxmlformats.org/officeDocument/2006/relationships/hyperlink" Target="https://www.education.govt.nz/school/funding-and-financials/resourcing/operational-funding/operational-funding-components/" TargetMode="External"/><Relationship Id="rId25" Type="http://schemas.openxmlformats.org/officeDocument/2006/relationships/hyperlink" Target="https://www.education.govt.nz/school/funding-and-financials/funding/property-maintenance-grant/" TargetMode="External"/><Relationship Id="rId2" Type="http://schemas.openxmlformats.org/officeDocument/2006/relationships/hyperlink" Target="https://www.education.govt.nz/school/funding-and-financials/resourcing/operational-funding/operational-funding-components/" TargetMode="External"/><Relationship Id="rId16" Type="http://schemas.openxmlformats.org/officeDocument/2006/relationships/hyperlink" Target="https://www.education.govt.nz/school/funding-and-financials/fees-charges-and-donations/" TargetMode="External"/><Relationship Id="rId20" Type="http://schemas.openxmlformats.org/officeDocument/2006/relationships/hyperlink" Target="https://www.education.govt.nz/school/funding-and-financials/funding/vandalism-funding/" TargetMode="External"/><Relationship Id="rId1" Type="http://schemas.openxmlformats.org/officeDocument/2006/relationships/hyperlink" Target="https://www.education.govt.nz/school/funding-and-financials/resourcing/operational-funding/operational-funding-components/" TargetMode="External"/><Relationship Id="rId6" Type="http://schemas.openxmlformats.org/officeDocument/2006/relationships/hyperlink" Target="https://www.charterschools.govt.nz/assets/Uploads/20240812-CSA-funding-factsheet.pdf" TargetMode="External"/><Relationship Id="rId11" Type="http://schemas.openxmlformats.org/officeDocument/2006/relationships/hyperlink" Target="https://www.education.govt.nz/school/funding-and-financials/resourcing/operational-funding/operational-funding-components/" TargetMode="External"/><Relationship Id="rId24" Type="http://schemas.openxmlformats.org/officeDocument/2006/relationships/hyperlink" Target="https://www.charterschools.govt.nz/assets/Uploads/20240812-CSA-funding-factsheet.pdf" TargetMode="External"/><Relationship Id="rId5" Type="http://schemas.openxmlformats.org/officeDocument/2006/relationships/hyperlink" Target="https://www.charterschools.govt.nz/assets/Uploads/20240812-CSA-funding-factsheet.pdf" TargetMode="External"/><Relationship Id="rId15" Type="http://schemas.openxmlformats.org/officeDocument/2006/relationships/hyperlink" Target="https://www.education.govt.nz/school/funding-and-financials/resourcing/operational-funding/operational-funding-components/" TargetMode="External"/><Relationship Id="rId23" Type="http://schemas.openxmlformats.org/officeDocument/2006/relationships/hyperlink" Target="https://www.charterschools.govt.nz/assets/Uploads/20240812-CSA-funding-factsheet.pdf" TargetMode="External"/><Relationship Id="rId10" Type="http://schemas.openxmlformats.org/officeDocument/2006/relationships/hyperlink" Target="https://www.education.govt.nz/our-work/changes-in-education/equity-index/how-the-equity-index-applies-to-funding/" TargetMode="External"/><Relationship Id="rId19" Type="http://schemas.openxmlformats.org/officeDocument/2006/relationships/hyperlink" Target="https://www.education.govt.nz/school/funding-and-financials/resourcing/operational-funding/the-risk-management-scheme-contents-and-liability-insurance/" TargetMode="External"/><Relationship Id="rId4" Type="http://schemas.openxmlformats.org/officeDocument/2006/relationships/hyperlink" Target="https://www.charterschools.govt.nz/assets/Uploads/20240812-CSA-funding-factsheet.pdf" TargetMode="External"/><Relationship Id="rId9" Type="http://schemas.openxmlformats.org/officeDocument/2006/relationships/hyperlink" Target="https://www.education.govt.nz/school/funding-and-financials/resourcing/operational-funding/operational-funding-components/" TargetMode="External"/><Relationship Id="rId14" Type="http://schemas.openxmlformats.org/officeDocument/2006/relationships/hyperlink" Target="https://www.education.govt.nz/school/funding-and-financials/resourcing/operational-funding/operational-funding-components/" TargetMode="External"/><Relationship Id="rId22" Type="http://schemas.openxmlformats.org/officeDocument/2006/relationships/hyperlink" Target="https://www.charterschools.govt.nz/assets/Uploads/20240812-CSA-funding-factsheet.pdf" TargetMode="External"/><Relationship Id="rId27" Type="http://schemas.openxmlformats.org/officeDocument/2006/relationships/hyperlink" Target="https://www.education.govt.nz/school/funding-and-financials/funding/capital-funding-for-integrated-schools/"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26" Type="http://schemas.openxmlformats.org/officeDocument/2006/relationships/table" Target="../tables/table22.xml"/><Relationship Id="rId3" Type="http://schemas.openxmlformats.org/officeDocument/2006/relationships/hyperlink" Target="https://www.education.govt.nz/school/funding-and-financials/resourcing/operational-funding/operational-funding-components/" TargetMode="External"/><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5" Type="http://schemas.openxmlformats.org/officeDocument/2006/relationships/table" Target="../tables/table21.xml"/><Relationship Id="rId2" Type="http://schemas.openxmlformats.org/officeDocument/2006/relationships/hyperlink" Target="https://www.education.govt.nz/school/funding-and-financials/resourcing/operational-funding/operational-funding-components/" TargetMode="External"/><Relationship Id="rId16" Type="http://schemas.openxmlformats.org/officeDocument/2006/relationships/table" Target="../tables/table12.xml"/><Relationship Id="rId20" Type="http://schemas.openxmlformats.org/officeDocument/2006/relationships/table" Target="../tables/table16.xml"/><Relationship Id="rId29" Type="http://schemas.openxmlformats.org/officeDocument/2006/relationships/table" Target="../tables/table25.xml"/><Relationship Id="rId1" Type="http://schemas.openxmlformats.org/officeDocument/2006/relationships/hyperlink" Target="https://www.education.govt.nz/school/funding-and-financials/resourcing/operational-funding/operational-funding-components/" TargetMode="External"/><Relationship Id="rId6" Type="http://schemas.openxmlformats.org/officeDocument/2006/relationships/table" Target="../tables/table2.xml"/><Relationship Id="rId11" Type="http://schemas.openxmlformats.org/officeDocument/2006/relationships/table" Target="../tables/table7.xml"/><Relationship Id="rId24" Type="http://schemas.openxmlformats.org/officeDocument/2006/relationships/table" Target="../tables/table20.xml"/><Relationship Id="rId5" Type="http://schemas.openxmlformats.org/officeDocument/2006/relationships/drawing" Target="../drawings/drawing1.xml"/><Relationship Id="rId15" Type="http://schemas.openxmlformats.org/officeDocument/2006/relationships/table" Target="../tables/table11.xml"/><Relationship Id="rId23" Type="http://schemas.openxmlformats.org/officeDocument/2006/relationships/table" Target="../tables/table19.xml"/><Relationship Id="rId28" Type="http://schemas.openxmlformats.org/officeDocument/2006/relationships/table" Target="../tables/table24.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2.bin"/><Relationship Id="rId9" Type="http://schemas.openxmlformats.org/officeDocument/2006/relationships/table" Target="../tables/table5.xml"/><Relationship Id="rId14" Type="http://schemas.openxmlformats.org/officeDocument/2006/relationships/table" Target="../tables/table10.xml"/><Relationship Id="rId22" Type="http://schemas.openxmlformats.org/officeDocument/2006/relationships/table" Target="../tables/table18.xml"/><Relationship Id="rId27" Type="http://schemas.openxmlformats.org/officeDocument/2006/relationships/table" Target="../tables/table2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842D-A9CD-4C98-910B-BD051195987D}">
  <sheetPr>
    <tabColor rgb="FFFFFF00"/>
  </sheetPr>
  <dimension ref="A1:DH676"/>
  <sheetViews>
    <sheetView showGridLines="0" zoomScaleNormal="100" workbookViewId="0">
      <selection activeCell="B31" sqref="B31"/>
    </sheetView>
  </sheetViews>
  <sheetFormatPr defaultColWidth="9.140625" defaultRowHeight="15" x14ac:dyDescent="0.25"/>
  <cols>
    <col min="1" max="1" width="9.140625" style="230"/>
    <col min="2" max="2" width="108.7109375" style="230" customWidth="1"/>
    <col min="3" max="13" width="9.140625" style="195"/>
    <col min="14" max="16384" width="9.140625" style="230"/>
  </cols>
  <sheetData>
    <row r="1" spans="1:112" x14ac:dyDescent="0.25">
      <c r="A1" s="195"/>
      <c r="B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row>
    <row r="2" spans="1:112" x14ac:dyDescent="0.25">
      <c r="A2" s="195"/>
      <c r="B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row>
    <row r="3" spans="1:112" x14ac:dyDescent="0.25">
      <c r="A3" s="195"/>
      <c r="B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row>
    <row r="4" spans="1:112" ht="28.5" x14ac:dyDescent="0.45">
      <c r="A4" s="195"/>
      <c r="B4" s="231" t="s">
        <v>419</v>
      </c>
      <c r="F4" s="232"/>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row>
    <row r="5" spans="1:112" x14ac:dyDescent="0.25">
      <c r="A5" s="195"/>
      <c r="B5" s="233"/>
      <c r="C5" s="234"/>
      <c r="D5" s="234"/>
      <c r="E5" s="234"/>
      <c r="F5" s="234"/>
      <c r="G5" s="234"/>
      <c r="H5" s="234"/>
      <c r="I5" s="234"/>
      <c r="J5" s="234"/>
      <c r="K5" s="234"/>
      <c r="L5" s="234"/>
      <c r="M5" s="234"/>
      <c r="N5" s="234"/>
      <c r="O5" s="234"/>
      <c r="P5" s="234"/>
      <c r="Q5" s="234"/>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row>
    <row r="6" spans="1:112" ht="23.25" x14ac:dyDescent="0.25">
      <c r="A6" s="195"/>
      <c r="B6" s="235" t="s">
        <v>420</v>
      </c>
      <c r="C6" s="234"/>
      <c r="D6" s="234"/>
      <c r="E6" s="234"/>
      <c r="F6" s="234"/>
      <c r="G6" s="234"/>
      <c r="H6" s="234"/>
      <c r="I6" s="234"/>
      <c r="J6" s="234"/>
      <c r="K6" s="234"/>
      <c r="L6" s="234"/>
      <c r="M6" s="234"/>
      <c r="N6" s="234"/>
      <c r="O6" s="234"/>
      <c r="P6" s="234"/>
      <c r="Q6" s="234"/>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row>
    <row r="7" spans="1:112" ht="10.5" customHeight="1" x14ac:dyDescent="0.25">
      <c r="A7" s="195"/>
      <c r="B7" s="235"/>
      <c r="C7" s="234"/>
      <c r="D7" s="234"/>
      <c r="E7" s="234"/>
      <c r="F7" s="234"/>
      <c r="G7" s="234"/>
      <c r="H7" s="234"/>
      <c r="I7" s="234"/>
      <c r="J7" s="234"/>
      <c r="K7" s="234"/>
      <c r="L7" s="234"/>
      <c r="M7" s="234"/>
      <c r="N7" s="234"/>
      <c r="O7" s="234"/>
      <c r="P7" s="234"/>
      <c r="Q7" s="234"/>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row>
    <row r="8" spans="1:112" ht="45" x14ac:dyDescent="0.25">
      <c r="A8" s="195"/>
      <c r="B8" s="236" t="s">
        <v>433</v>
      </c>
      <c r="C8" s="234"/>
      <c r="D8" s="234"/>
      <c r="E8" s="234"/>
      <c r="F8" s="234"/>
      <c r="G8" s="234"/>
      <c r="H8" s="234"/>
      <c r="I8" s="234"/>
      <c r="J8" s="234"/>
      <c r="K8" s="234"/>
      <c r="L8" s="234"/>
      <c r="M8" s="234"/>
      <c r="N8" s="234"/>
      <c r="O8" s="234"/>
      <c r="P8" s="234"/>
      <c r="Q8" s="234"/>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row>
    <row r="9" spans="1:112" ht="9" customHeight="1" x14ac:dyDescent="0.25">
      <c r="A9" s="195"/>
      <c r="B9" s="236"/>
      <c r="C9" s="234"/>
      <c r="D9" s="234"/>
      <c r="E9" s="234"/>
      <c r="F9" s="234"/>
      <c r="G9" s="234"/>
      <c r="H9" s="234"/>
      <c r="I9" s="234"/>
      <c r="J9" s="234"/>
      <c r="K9" s="234"/>
      <c r="L9" s="234"/>
      <c r="M9" s="234"/>
      <c r="N9" s="234"/>
      <c r="O9" s="234"/>
      <c r="P9" s="234"/>
      <c r="Q9" s="234"/>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row>
    <row r="10" spans="1:112" ht="23.25" x14ac:dyDescent="0.25">
      <c r="A10" s="195"/>
      <c r="B10" s="235" t="s">
        <v>7</v>
      </c>
      <c r="C10" s="234"/>
      <c r="D10" s="234"/>
      <c r="E10" s="234"/>
      <c r="F10" s="234"/>
      <c r="G10" s="234"/>
      <c r="H10" s="234"/>
      <c r="I10" s="234"/>
      <c r="J10" s="234"/>
      <c r="K10" s="234"/>
      <c r="L10" s="234"/>
      <c r="M10" s="234"/>
      <c r="N10" s="234"/>
      <c r="O10" s="234"/>
      <c r="P10" s="234"/>
      <c r="Q10" s="234"/>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row>
    <row r="11" spans="1:112" ht="7.5" customHeight="1" x14ac:dyDescent="0.25">
      <c r="A11" s="195"/>
      <c r="B11" s="235"/>
      <c r="C11" s="234"/>
      <c r="D11" s="234"/>
      <c r="E11" s="234"/>
      <c r="F11" s="234"/>
      <c r="G11" s="234"/>
      <c r="H11" s="234"/>
      <c r="I11" s="234"/>
      <c r="J11" s="234"/>
      <c r="K11" s="234"/>
      <c r="L11" s="234"/>
      <c r="M11" s="234"/>
      <c r="N11" s="234"/>
      <c r="O11" s="234"/>
      <c r="P11" s="234"/>
      <c r="Q11" s="234"/>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row>
    <row r="12" spans="1:112" ht="45" x14ac:dyDescent="0.25">
      <c r="A12" s="195"/>
      <c r="B12" s="237" t="s">
        <v>456</v>
      </c>
      <c r="C12" s="234"/>
      <c r="D12" s="234"/>
      <c r="E12" s="234"/>
      <c r="F12" s="234"/>
      <c r="G12" s="234"/>
      <c r="H12" s="234"/>
      <c r="I12" s="234"/>
      <c r="J12" s="234"/>
      <c r="K12" s="234"/>
      <c r="L12" s="234"/>
      <c r="M12" s="234"/>
      <c r="N12" s="234"/>
      <c r="O12" s="234"/>
      <c r="P12" s="234"/>
      <c r="Q12" s="234"/>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row>
    <row r="13" spans="1:112" ht="23.25" x14ac:dyDescent="0.25">
      <c r="A13" s="195"/>
      <c r="B13" s="235"/>
      <c r="C13" s="234"/>
      <c r="D13" s="234"/>
      <c r="E13" s="234"/>
      <c r="F13" s="234"/>
      <c r="G13" s="234"/>
      <c r="H13" s="234"/>
      <c r="I13" s="234"/>
      <c r="J13" s="234"/>
      <c r="K13" s="234"/>
      <c r="L13" s="234"/>
      <c r="M13" s="234"/>
      <c r="N13" s="234"/>
      <c r="O13" s="234"/>
      <c r="P13" s="234"/>
      <c r="Q13" s="234"/>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row>
    <row r="14" spans="1:112" ht="30" x14ac:dyDescent="0.25">
      <c r="A14" s="195"/>
      <c r="B14" s="237" t="s">
        <v>421</v>
      </c>
      <c r="C14" s="234"/>
      <c r="D14" s="234"/>
      <c r="E14" s="234"/>
      <c r="F14" s="234"/>
      <c r="G14" s="234"/>
      <c r="H14" s="234"/>
      <c r="I14" s="234"/>
      <c r="J14" s="234"/>
      <c r="K14" s="234"/>
      <c r="L14" s="234"/>
      <c r="M14" s="234"/>
      <c r="N14" s="234"/>
      <c r="O14" s="234"/>
      <c r="P14" s="234"/>
      <c r="Q14" s="234"/>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row>
    <row r="15" spans="1:112" x14ac:dyDescent="0.25">
      <c r="A15" s="195"/>
      <c r="B15" s="238" t="s">
        <v>435</v>
      </c>
      <c r="C15" s="234"/>
      <c r="D15" s="234"/>
      <c r="E15" s="234"/>
      <c r="F15" s="234"/>
      <c r="G15" s="234"/>
      <c r="H15" s="234"/>
      <c r="I15" s="234"/>
      <c r="J15" s="234"/>
      <c r="K15" s="234"/>
      <c r="L15" s="234"/>
      <c r="M15" s="234"/>
      <c r="N15" s="234"/>
      <c r="O15" s="234"/>
      <c r="P15" s="234"/>
      <c r="Q15" s="234"/>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row>
    <row r="16" spans="1:112" ht="30" x14ac:dyDescent="0.25">
      <c r="A16" s="195"/>
      <c r="B16" s="236" t="s">
        <v>422</v>
      </c>
      <c r="C16" s="234"/>
      <c r="D16" s="234"/>
      <c r="E16" s="234"/>
      <c r="F16" s="234"/>
      <c r="G16" s="234"/>
      <c r="H16" s="234"/>
      <c r="I16" s="234"/>
      <c r="J16" s="234"/>
      <c r="K16" s="234"/>
      <c r="L16" s="234"/>
      <c r="M16" s="234"/>
      <c r="N16" s="234"/>
      <c r="O16" s="234"/>
      <c r="P16" s="234"/>
      <c r="Q16" s="234"/>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row>
    <row r="17" spans="1:112" x14ac:dyDescent="0.25">
      <c r="A17" s="195"/>
      <c r="B17" s="238" t="s">
        <v>436</v>
      </c>
      <c r="C17" s="234"/>
      <c r="D17" s="234"/>
      <c r="E17" s="234"/>
      <c r="F17" s="234"/>
      <c r="G17" s="234"/>
      <c r="H17" s="234"/>
      <c r="I17" s="234"/>
      <c r="J17" s="234"/>
      <c r="K17" s="234"/>
      <c r="L17" s="234"/>
      <c r="M17" s="234"/>
      <c r="N17" s="234"/>
      <c r="O17" s="234"/>
      <c r="P17" s="234"/>
      <c r="Q17" s="234"/>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row>
    <row r="18" spans="1:112" ht="9.75" customHeight="1" x14ac:dyDescent="0.25">
      <c r="A18" s="195"/>
      <c r="B18" s="238"/>
      <c r="C18" s="234"/>
      <c r="D18" s="234"/>
      <c r="E18" s="234"/>
      <c r="F18" s="234"/>
      <c r="G18" s="234"/>
      <c r="H18" s="234"/>
      <c r="I18" s="234"/>
      <c r="J18" s="234"/>
      <c r="K18" s="234"/>
      <c r="L18" s="234"/>
      <c r="M18" s="234"/>
      <c r="N18" s="234"/>
      <c r="O18" s="234"/>
      <c r="P18" s="234"/>
      <c r="Q18" s="234"/>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row>
    <row r="19" spans="1:112" ht="23.25" x14ac:dyDescent="0.25">
      <c r="A19" s="195"/>
      <c r="B19" s="235" t="s">
        <v>423</v>
      </c>
      <c r="C19" s="234"/>
      <c r="D19" s="234"/>
      <c r="E19" s="234"/>
      <c r="F19" s="234"/>
      <c r="G19" s="234"/>
      <c r="H19" s="234"/>
      <c r="I19" s="234"/>
      <c r="J19" s="234"/>
      <c r="K19" s="234"/>
      <c r="L19" s="234"/>
      <c r="M19" s="234"/>
      <c r="N19" s="234"/>
      <c r="O19" s="234"/>
      <c r="P19" s="234"/>
      <c r="Q19" s="234"/>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row>
    <row r="20" spans="1:112" ht="2.25" customHeight="1" x14ac:dyDescent="0.25">
      <c r="A20" s="195"/>
      <c r="B20" s="236"/>
      <c r="C20" s="234"/>
      <c r="D20" s="234"/>
      <c r="E20" s="234"/>
      <c r="F20" s="234"/>
      <c r="G20" s="234"/>
      <c r="H20" s="234"/>
      <c r="I20" s="234"/>
      <c r="J20" s="234"/>
      <c r="K20" s="234"/>
      <c r="L20" s="234"/>
      <c r="M20" s="234"/>
      <c r="N20" s="234"/>
      <c r="O20" s="234"/>
      <c r="P20" s="234"/>
      <c r="Q20" s="234"/>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row>
    <row r="21" spans="1:112" ht="30" x14ac:dyDescent="0.25">
      <c r="A21" s="195"/>
      <c r="B21" s="236" t="s">
        <v>441</v>
      </c>
      <c r="C21" s="234"/>
      <c r="D21" s="234"/>
      <c r="E21" s="234"/>
      <c r="F21" s="234"/>
      <c r="G21" s="234"/>
      <c r="H21" s="234"/>
      <c r="I21" s="234"/>
      <c r="J21" s="234"/>
      <c r="K21" s="234"/>
      <c r="L21" s="234"/>
      <c r="M21" s="234"/>
      <c r="N21" s="234"/>
      <c r="O21" s="234"/>
      <c r="P21" s="234"/>
      <c r="Q21" s="234"/>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row>
    <row r="22" spans="1:112" ht="11.25" customHeight="1" x14ac:dyDescent="0.25">
      <c r="A22" s="195"/>
      <c r="B22" s="236"/>
      <c r="C22" s="234"/>
      <c r="D22" s="234"/>
      <c r="E22" s="234"/>
      <c r="F22" s="234"/>
      <c r="G22" s="234"/>
      <c r="H22" s="234"/>
      <c r="I22" s="234"/>
      <c r="J22" s="234"/>
      <c r="K22" s="234"/>
      <c r="L22" s="234"/>
      <c r="M22" s="234"/>
      <c r="N22" s="234"/>
      <c r="O22" s="234"/>
      <c r="P22" s="234"/>
      <c r="Q22" s="234"/>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row>
    <row r="23" spans="1:112" ht="23.25" x14ac:dyDescent="0.25">
      <c r="A23" s="195"/>
      <c r="B23" s="235" t="s">
        <v>424</v>
      </c>
      <c r="C23" s="234"/>
      <c r="D23" s="234"/>
      <c r="E23" s="234"/>
      <c r="F23" s="234"/>
      <c r="G23" s="234"/>
      <c r="H23" s="234"/>
      <c r="I23" s="234"/>
      <c r="J23" s="234"/>
      <c r="K23" s="234"/>
      <c r="L23" s="234"/>
      <c r="M23" s="234"/>
      <c r="N23" s="234"/>
      <c r="O23" s="234"/>
      <c r="P23" s="234"/>
      <c r="Q23" s="234"/>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row>
    <row r="24" spans="1:112" ht="9.9499999999999993" customHeight="1" x14ac:dyDescent="0.25">
      <c r="A24" s="195"/>
      <c r="B24" s="236"/>
      <c r="C24" s="234"/>
      <c r="D24" s="234"/>
      <c r="E24" s="234"/>
      <c r="F24" s="234"/>
      <c r="G24" s="234"/>
      <c r="H24" s="234"/>
      <c r="I24" s="234"/>
      <c r="J24" s="234"/>
      <c r="K24" s="234"/>
      <c r="L24" s="234"/>
      <c r="M24" s="234"/>
      <c r="N24" s="234"/>
      <c r="O24" s="234"/>
      <c r="P24" s="234"/>
      <c r="Q24" s="234"/>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row>
    <row r="25" spans="1:112" ht="18" x14ac:dyDescent="0.25">
      <c r="A25" s="195"/>
      <c r="B25" s="239" t="s">
        <v>425</v>
      </c>
      <c r="C25" s="234"/>
      <c r="D25" s="234"/>
      <c r="E25" s="234"/>
      <c r="F25" s="234"/>
      <c r="G25" s="234"/>
      <c r="H25" s="234"/>
      <c r="I25" s="234"/>
      <c r="J25" s="234"/>
      <c r="K25" s="234"/>
      <c r="L25" s="234"/>
      <c r="M25" s="234"/>
      <c r="N25" s="234"/>
      <c r="O25" s="234"/>
      <c r="P25" s="234"/>
      <c r="Q25" s="234"/>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row>
    <row r="26" spans="1:112" ht="9.9499999999999993" customHeight="1" x14ac:dyDescent="0.25">
      <c r="A26" s="195"/>
      <c r="B26" s="236"/>
      <c r="C26" s="234"/>
      <c r="D26" s="234"/>
      <c r="E26" s="234"/>
      <c r="F26" s="234"/>
      <c r="G26" s="234"/>
      <c r="H26" s="234"/>
      <c r="I26" s="234"/>
      <c r="J26" s="234"/>
      <c r="K26" s="234"/>
      <c r="L26" s="234"/>
      <c r="M26" s="234"/>
      <c r="N26" s="234"/>
      <c r="O26" s="234"/>
      <c r="P26" s="234"/>
      <c r="Q26" s="234"/>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row>
    <row r="27" spans="1:112" x14ac:dyDescent="0.25">
      <c r="A27" s="195"/>
      <c r="B27" s="236" t="s">
        <v>426</v>
      </c>
      <c r="C27" s="234"/>
      <c r="D27" s="234"/>
      <c r="E27" s="234"/>
      <c r="F27" s="234"/>
      <c r="G27" s="234"/>
      <c r="H27" s="234"/>
      <c r="I27" s="234"/>
      <c r="J27" s="234"/>
      <c r="K27" s="234"/>
      <c r="L27" s="234"/>
      <c r="M27" s="234"/>
      <c r="N27" s="234"/>
      <c r="O27" s="234"/>
      <c r="P27" s="234"/>
      <c r="Q27" s="234"/>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row>
    <row r="28" spans="1:112" ht="9.9499999999999993" customHeight="1" x14ac:dyDescent="0.25">
      <c r="A28" s="195"/>
      <c r="B28" s="236"/>
      <c r="C28" s="234"/>
      <c r="D28" s="234"/>
      <c r="E28" s="234"/>
      <c r="F28" s="234"/>
      <c r="G28" s="234"/>
      <c r="H28" s="234"/>
      <c r="I28" s="234"/>
      <c r="J28" s="234"/>
      <c r="K28" s="234"/>
      <c r="L28" s="234"/>
      <c r="M28" s="234"/>
      <c r="N28" s="234"/>
      <c r="O28" s="234"/>
      <c r="P28" s="234"/>
      <c r="Q28" s="234"/>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row>
    <row r="29" spans="1:112" ht="18" x14ac:dyDescent="0.25">
      <c r="A29" s="195"/>
      <c r="B29" s="239" t="s">
        <v>427</v>
      </c>
      <c r="C29" s="234"/>
      <c r="D29" s="234"/>
      <c r="E29" s="234"/>
      <c r="F29" s="234"/>
      <c r="G29" s="234"/>
      <c r="H29" s="234"/>
      <c r="I29" s="234"/>
      <c r="J29" s="234"/>
      <c r="K29" s="234"/>
      <c r="L29" s="234"/>
      <c r="M29" s="234"/>
      <c r="N29" s="234"/>
      <c r="O29" s="234"/>
      <c r="P29" s="234"/>
      <c r="Q29" s="234"/>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row>
    <row r="30" spans="1:112" ht="9.9499999999999993" customHeight="1" x14ac:dyDescent="0.25">
      <c r="A30" s="195"/>
      <c r="B30" s="236"/>
      <c r="C30" s="234"/>
      <c r="D30" s="234"/>
      <c r="E30" s="234"/>
      <c r="F30" s="234"/>
      <c r="G30" s="234"/>
      <c r="H30" s="234"/>
      <c r="I30" s="234"/>
      <c r="J30" s="234"/>
      <c r="K30" s="234"/>
      <c r="L30" s="234"/>
      <c r="M30" s="234"/>
      <c r="N30" s="234"/>
      <c r="O30" s="234"/>
      <c r="P30" s="234"/>
      <c r="Q30" s="234"/>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row>
    <row r="31" spans="1:112" x14ac:dyDescent="0.25">
      <c r="A31" s="195"/>
      <c r="B31" s="236" t="s">
        <v>428</v>
      </c>
      <c r="C31" s="234"/>
      <c r="D31" s="234"/>
      <c r="E31" s="234"/>
      <c r="F31" s="234"/>
      <c r="G31" s="234"/>
      <c r="H31" s="234"/>
      <c r="I31" s="234"/>
      <c r="J31" s="234"/>
      <c r="K31" s="234"/>
      <c r="L31" s="234"/>
      <c r="M31" s="234"/>
      <c r="N31" s="234"/>
      <c r="O31" s="234"/>
      <c r="P31" s="234"/>
      <c r="Q31" s="234"/>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row>
    <row r="32" spans="1:112" ht="9.9499999999999993" customHeight="1" x14ac:dyDescent="0.25">
      <c r="A32" s="195"/>
      <c r="B32" s="237"/>
      <c r="C32" s="234"/>
      <c r="D32" s="234"/>
      <c r="E32" s="234"/>
      <c r="F32" s="234"/>
      <c r="G32" s="234"/>
      <c r="H32" s="234"/>
      <c r="I32" s="234"/>
      <c r="J32" s="234"/>
      <c r="K32" s="234"/>
      <c r="L32" s="234"/>
      <c r="M32" s="234"/>
      <c r="N32" s="234"/>
      <c r="O32" s="234"/>
      <c r="P32" s="234"/>
      <c r="Q32" s="234"/>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row>
    <row r="33" spans="1:112" x14ac:dyDescent="0.25">
      <c r="A33" s="195"/>
      <c r="B33" s="240" t="s">
        <v>437</v>
      </c>
      <c r="C33" s="234"/>
      <c r="D33" s="234"/>
      <c r="E33" s="234"/>
      <c r="F33" s="234"/>
      <c r="G33" s="234"/>
      <c r="H33" s="234"/>
      <c r="I33" s="234"/>
      <c r="J33" s="234"/>
      <c r="K33" s="234"/>
      <c r="L33" s="234"/>
      <c r="M33" s="234"/>
      <c r="N33" s="234"/>
      <c r="O33" s="234"/>
      <c r="P33" s="234"/>
      <c r="Q33" s="234"/>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row>
    <row r="34" spans="1:112" ht="18.75" customHeight="1" x14ac:dyDescent="0.25">
      <c r="A34" s="195"/>
      <c r="B34" s="237" t="s">
        <v>429</v>
      </c>
      <c r="C34" s="234"/>
      <c r="D34" s="234"/>
      <c r="E34" s="234"/>
      <c r="F34" s="234"/>
      <c r="G34" s="234"/>
      <c r="H34" s="234"/>
      <c r="I34" s="234"/>
      <c r="J34" s="234"/>
      <c r="K34" s="234"/>
      <c r="L34" s="234"/>
      <c r="M34" s="234"/>
      <c r="N34" s="234"/>
      <c r="O34" s="234"/>
      <c r="P34" s="234"/>
      <c r="Q34" s="234"/>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row>
    <row r="35" spans="1:112" x14ac:dyDescent="0.25">
      <c r="A35" s="195"/>
      <c r="B35" s="240" t="s">
        <v>438</v>
      </c>
      <c r="C35" s="234"/>
      <c r="D35" s="234"/>
      <c r="E35" s="234"/>
      <c r="F35" s="234"/>
      <c r="G35" s="234"/>
      <c r="H35" s="234"/>
      <c r="I35" s="234"/>
      <c r="J35" s="234"/>
      <c r="K35" s="234"/>
      <c r="L35" s="234"/>
      <c r="M35" s="234"/>
      <c r="N35" s="234"/>
      <c r="O35" s="234"/>
      <c r="P35" s="234"/>
      <c r="Q35" s="234"/>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row>
    <row r="36" spans="1:112" ht="9.9499999999999993" customHeight="1" x14ac:dyDescent="0.25">
      <c r="A36" s="195"/>
      <c r="B36" s="236"/>
      <c r="C36" s="234"/>
      <c r="D36" s="234"/>
      <c r="E36" s="234"/>
      <c r="F36" s="234"/>
      <c r="G36" s="234"/>
      <c r="H36" s="234"/>
      <c r="I36" s="234"/>
      <c r="J36" s="234"/>
      <c r="K36" s="234"/>
      <c r="L36" s="234"/>
      <c r="M36" s="234"/>
      <c r="N36" s="234"/>
      <c r="O36" s="234"/>
      <c r="P36" s="234"/>
      <c r="Q36" s="234"/>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row>
    <row r="37" spans="1:112" ht="18" x14ac:dyDescent="0.25">
      <c r="A37" s="195"/>
      <c r="B37" s="239" t="s">
        <v>430</v>
      </c>
      <c r="C37" s="234"/>
      <c r="D37" s="234"/>
      <c r="E37" s="234"/>
      <c r="F37" s="234"/>
      <c r="G37" s="234"/>
      <c r="H37" s="234"/>
      <c r="I37" s="234"/>
      <c r="J37" s="234"/>
      <c r="K37" s="234"/>
      <c r="L37" s="234"/>
      <c r="M37" s="234"/>
      <c r="N37" s="234"/>
      <c r="O37" s="234"/>
      <c r="P37" s="234"/>
      <c r="Q37" s="234"/>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row>
    <row r="38" spans="1:112" ht="9.9499999999999993" customHeight="1" x14ac:dyDescent="0.25">
      <c r="A38" s="195"/>
      <c r="B38" s="236"/>
      <c r="C38" s="234"/>
      <c r="D38" s="234"/>
      <c r="E38" s="234"/>
      <c r="F38" s="234"/>
      <c r="G38" s="234"/>
      <c r="H38" s="234"/>
      <c r="I38" s="234"/>
      <c r="J38" s="234"/>
      <c r="K38" s="234"/>
      <c r="L38" s="234"/>
      <c r="M38" s="234"/>
      <c r="N38" s="234"/>
      <c r="O38" s="234"/>
      <c r="P38" s="234"/>
      <c r="Q38" s="234"/>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row>
    <row r="39" spans="1:112" x14ac:dyDescent="0.25">
      <c r="A39" s="195"/>
      <c r="B39" s="236" t="s">
        <v>431</v>
      </c>
      <c r="C39" s="234"/>
      <c r="D39" s="234"/>
      <c r="E39" s="234"/>
      <c r="F39" s="234"/>
      <c r="G39" s="234"/>
      <c r="H39" s="234"/>
      <c r="I39" s="234"/>
      <c r="J39" s="234"/>
      <c r="K39" s="234"/>
      <c r="L39" s="234"/>
      <c r="M39" s="234"/>
      <c r="N39" s="234"/>
      <c r="O39" s="234"/>
      <c r="P39" s="234"/>
      <c r="Q39" s="234"/>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row>
    <row r="40" spans="1:112" ht="9.9499999999999993" customHeight="1" x14ac:dyDescent="0.25">
      <c r="A40" s="195"/>
      <c r="B40" s="237"/>
      <c r="C40" s="234"/>
      <c r="D40" s="234"/>
      <c r="E40" s="234"/>
      <c r="F40" s="234"/>
      <c r="G40" s="234"/>
      <c r="H40" s="234"/>
      <c r="I40" s="234"/>
      <c r="J40" s="234"/>
      <c r="K40" s="234"/>
      <c r="L40" s="234"/>
      <c r="M40" s="234"/>
      <c r="N40" s="234"/>
      <c r="O40" s="234"/>
      <c r="P40" s="234"/>
      <c r="Q40" s="234"/>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row>
    <row r="41" spans="1:112" ht="30" x14ac:dyDescent="0.25">
      <c r="A41" s="195"/>
      <c r="B41" s="240" t="s">
        <v>439</v>
      </c>
      <c r="C41" s="234"/>
      <c r="D41" s="234"/>
      <c r="E41" s="234"/>
      <c r="F41" s="234"/>
      <c r="G41" s="234"/>
      <c r="H41" s="234"/>
      <c r="I41" s="234"/>
      <c r="J41" s="234"/>
      <c r="K41" s="234"/>
      <c r="L41" s="234"/>
      <c r="M41" s="234"/>
      <c r="N41" s="234"/>
      <c r="O41" s="234"/>
      <c r="P41" s="234"/>
      <c r="Q41" s="234"/>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row>
    <row r="42" spans="1:112" x14ac:dyDescent="0.25">
      <c r="A42" s="195"/>
      <c r="B42" s="240" t="s">
        <v>440</v>
      </c>
      <c r="C42" s="234"/>
      <c r="D42" s="234"/>
      <c r="E42" s="234"/>
      <c r="F42" s="234"/>
      <c r="G42" s="234"/>
      <c r="H42" s="234"/>
      <c r="I42" s="234"/>
      <c r="J42" s="234"/>
      <c r="K42" s="234"/>
      <c r="L42" s="234"/>
      <c r="M42" s="234"/>
      <c r="N42" s="234"/>
      <c r="O42" s="234"/>
      <c r="P42" s="234"/>
      <c r="Q42" s="234"/>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row>
    <row r="43" spans="1:112" ht="30" x14ac:dyDescent="0.25">
      <c r="A43" s="195"/>
      <c r="B43" s="237" t="s">
        <v>434</v>
      </c>
      <c r="C43" s="234"/>
      <c r="D43" s="234"/>
      <c r="E43" s="234"/>
      <c r="F43" s="234"/>
      <c r="G43" s="234"/>
      <c r="H43" s="234"/>
      <c r="I43" s="234"/>
      <c r="J43" s="234"/>
      <c r="K43" s="234"/>
      <c r="L43" s="234"/>
      <c r="M43" s="234"/>
      <c r="N43" s="234"/>
      <c r="O43" s="234"/>
      <c r="P43" s="234"/>
      <c r="Q43" s="234"/>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row>
    <row r="44" spans="1:112" ht="9.9499999999999993" customHeight="1" x14ac:dyDescent="0.25">
      <c r="A44" s="195"/>
      <c r="B44" s="236"/>
      <c r="C44" s="234"/>
      <c r="D44" s="234"/>
      <c r="E44" s="234"/>
      <c r="F44" s="234"/>
      <c r="G44" s="234"/>
      <c r="H44" s="234"/>
      <c r="I44" s="234"/>
      <c r="J44" s="234"/>
      <c r="K44" s="234"/>
      <c r="L44" s="234"/>
      <c r="M44" s="234"/>
      <c r="N44" s="234"/>
      <c r="O44" s="234"/>
      <c r="P44" s="234"/>
      <c r="Q44" s="234"/>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row>
    <row r="45" spans="1:112" ht="18" x14ac:dyDescent="0.25">
      <c r="A45" s="195"/>
      <c r="B45" s="239" t="s">
        <v>432</v>
      </c>
      <c r="C45" s="234"/>
      <c r="D45" s="234"/>
      <c r="E45" s="234"/>
      <c r="F45" s="234"/>
      <c r="G45" s="234"/>
      <c r="H45" s="234"/>
      <c r="I45" s="234"/>
      <c r="J45" s="234"/>
      <c r="K45" s="234"/>
      <c r="L45" s="234"/>
      <c r="M45" s="234"/>
      <c r="N45" s="234"/>
      <c r="O45" s="234"/>
      <c r="P45" s="234"/>
      <c r="Q45" s="234"/>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row>
    <row r="46" spans="1:112" ht="9.9499999999999993" customHeight="1" x14ac:dyDescent="0.25">
      <c r="A46" s="195"/>
      <c r="B46" s="236"/>
      <c r="C46" s="234"/>
      <c r="D46" s="234"/>
      <c r="E46" s="234"/>
      <c r="F46" s="234"/>
      <c r="G46" s="234"/>
      <c r="H46" s="234"/>
      <c r="I46" s="234"/>
      <c r="J46" s="234"/>
      <c r="K46" s="234"/>
      <c r="L46" s="234"/>
      <c r="M46" s="234"/>
      <c r="N46" s="234"/>
      <c r="O46" s="234"/>
      <c r="P46" s="234"/>
      <c r="Q46" s="234"/>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row>
    <row r="47" spans="1:112" x14ac:dyDescent="0.25">
      <c r="A47" s="195"/>
      <c r="B47" s="236" t="s">
        <v>455</v>
      </c>
      <c r="C47" s="234"/>
      <c r="D47" s="234"/>
      <c r="E47" s="234"/>
      <c r="F47" s="234"/>
      <c r="G47" s="234"/>
      <c r="H47" s="234"/>
      <c r="I47" s="234"/>
      <c r="J47" s="234"/>
      <c r="K47" s="234"/>
      <c r="L47" s="234"/>
      <c r="M47" s="234"/>
      <c r="N47" s="234"/>
      <c r="O47" s="234"/>
      <c r="P47" s="234"/>
      <c r="Q47" s="234"/>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row>
    <row r="48" spans="1:112" ht="9.9499999999999993" customHeight="1" x14ac:dyDescent="0.25">
      <c r="A48" s="195"/>
      <c r="B48" s="237"/>
      <c r="C48" s="234"/>
      <c r="D48" s="234"/>
      <c r="E48" s="234"/>
      <c r="F48" s="234"/>
      <c r="G48" s="234"/>
      <c r="H48" s="234"/>
      <c r="I48" s="234"/>
      <c r="J48" s="234"/>
      <c r="K48" s="234"/>
      <c r="L48" s="234"/>
      <c r="M48" s="234"/>
      <c r="N48" s="234"/>
      <c r="O48" s="234"/>
      <c r="P48" s="234"/>
      <c r="Q48" s="234"/>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row>
    <row r="49" spans="1:112" ht="30" x14ac:dyDescent="0.25">
      <c r="A49" s="195"/>
      <c r="B49" s="240" t="s">
        <v>442</v>
      </c>
      <c r="C49" s="234"/>
      <c r="D49" s="234"/>
      <c r="E49" s="234"/>
      <c r="F49" s="234"/>
      <c r="G49" s="234"/>
      <c r="H49" s="234"/>
      <c r="I49" s="234"/>
      <c r="J49" s="234"/>
      <c r="K49" s="234"/>
      <c r="L49" s="234"/>
      <c r="M49" s="234"/>
      <c r="N49" s="234"/>
      <c r="O49" s="234"/>
      <c r="P49" s="234"/>
      <c r="Q49" s="234"/>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row>
    <row r="50" spans="1:112" x14ac:dyDescent="0.25">
      <c r="A50" s="195"/>
      <c r="B50" s="240"/>
      <c r="C50" s="234"/>
      <c r="D50" s="234"/>
      <c r="E50" s="234"/>
      <c r="F50" s="234"/>
      <c r="G50" s="234"/>
      <c r="H50" s="234"/>
      <c r="I50" s="234"/>
      <c r="J50" s="234"/>
      <c r="K50" s="234"/>
      <c r="L50" s="234"/>
      <c r="M50" s="234"/>
      <c r="N50" s="234"/>
      <c r="O50" s="234"/>
      <c r="P50" s="234"/>
      <c r="Q50" s="234"/>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row>
    <row r="51" spans="1:112" x14ac:dyDescent="0.25">
      <c r="A51" s="195"/>
      <c r="B51" s="240"/>
      <c r="C51" s="234"/>
      <c r="D51" s="234"/>
      <c r="E51" s="234"/>
      <c r="F51" s="234"/>
      <c r="G51" s="234"/>
      <c r="H51" s="234"/>
      <c r="I51" s="234"/>
      <c r="J51" s="234"/>
      <c r="K51" s="234"/>
      <c r="L51" s="234"/>
      <c r="M51" s="234"/>
      <c r="N51" s="234"/>
      <c r="O51" s="234"/>
      <c r="P51" s="234"/>
      <c r="Q51" s="234"/>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row>
    <row r="52" spans="1:112" x14ac:dyDescent="0.25">
      <c r="A52" s="195"/>
      <c r="B52" s="234"/>
      <c r="C52" s="234"/>
      <c r="D52" s="234"/>
      <c r="E52" s="234"/>
      <c r="F52" s="234"/>
      <c r="G52" s="234"/>
      <c r="H52" s="234"/>
      <c r="I52" s="234"/>
      <c r="J52" s="234"/>
      <c r="K52" s="234"/>
      <c r="L52" s="234"/>
      <c r="M52" s="234"/>
      <c r="N52" s="234"/>
      <c r="O52" s="234"/>
      <c r="P52" s="234"/>
      <c r="Q52" s="234"/>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row>
    <row r="53" spans="1:112" x14ac:dyDescent="0.25">
      <c r="A53" s="195"/>
      <c r="B53" s="234"/>
      <c r="C53" s="234"/>
      <c r="D53" s="234"/>
      <c r="E53" s="234"/>
      <c r="F53" s="234"/>
      <c r="G53" s="234"/>
      <c r="H53" s="234"/>
      <c r="I53" s="234"/>
      <c r="J53" s="234"/>
      <c r="K53" s="234"/>
      <c r="L53" s="234"/>
      <c r="M53" s="234"/>
      <c r="N53" s="234"/>
      <c r="O53" s="234"/>
      <c r="P53" s="234"/>
      <c r="Q53" s="234"/>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row>
    <row r="54" spans="1:112" x14ac:dyDescent="0.25">
      <c r="A54" s="195"/>
      <c r="B54" s="234"/>
      <c r="C54" s="234"/>
      <c r="D54" s="234"/>
      <c r="E54" s="234"/>
      <c r="F54" s="234"/>
      <c r="G54" s="234"/>
      <c r="H54" s="234"/>
      <c r="I54" s="234"/>
      <c r="J54" s="234"/>
      <c r="K54" s="234"/>
      <c r="L54" s="234"/>
      <c r="M54" s="234"/>
      <c r="N54" s="234"/>
      <c r="O54" s="234"/>
      <c r="P54" s="234"/>
      <c r="Q54" s="234"/>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row>
    <row r="55" spans="1:112" x14ac:dyDescent="0.25">
      <c r="A55" s="195"/>
      <c r="B55" s="234"/>
      <c r="C55" s="234"/>
      <c r="D55" s="234"/>
      <c r="E55" s="234"/>
      <c r="F55" s="234"/>
      <c r="G55" s="234"/>
      <c r="H55" s="234"/>
      <c r="I55" s="234"/>
      <c r="J55" s="234"/>
      <c r="K55" s="234"/>
      <c r="L55" s="234"/>
      <c r="M55" s="234"/>
      <c r="N55" s="234"/>
      <c r="O55" s="234"/>
      <c r="P55" s="234"/>
      <c r="Q55" s="234"/>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row>
    <row r="56" spans="1:112" x14ac:dyDescent="0.25">
      <c r="A56" s="195"/>
      <c r="B56" s="234"/>
      <c r="C56" s="234"/>
      <c r="D56" s="234"/>
      <c r="E56" s="234"/>
      <c r="F56" s="234"/>
      <c r="G56" s="234"/>
      <c r="H56" s="234"/>
      <c r="I56" s="234"/>
      <c r="J56" s="234"/>
      <c r="K56" s="234"/>
      <c r="L56" s="234"/>
      <c r="M56" s="234"/>
      <c r="N56" s="234"/>
      <c r="O56" s="234"/>
      <c r="P56" s="234"/>
      <c r="Q56" s="234"/>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row>
    <row r="57" spans="1:112" x14ac:dyDescent="0.25">
      <c r="A57" s="195"/>
      <c r="B57" s="234"/>
      <c r="C57" s="234"/>
      <c r="D57" s="234"/>
      <c r="E57" s="234"/>
      <c r="F57" s="234"/>
      <c r="G57" s="234"/>
      <c r="H57" s="234"/>
      <c r="I57" s="234"/>
      <c r="J57" s="234"/>
      <c r="K57" s="234"/>
      <c r="L57" s="234"/>
      <c r="M57" s="234"/>
      <c r="N57" s="234"/>
      <c r="O57" s="234"/>
      <c r="P57" s="234"/>
      <c r="Q57" s="234"/>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row>
    <row r="58" spans="1:112" x14ac:dyDescent="0.25">
      <c r="A58" s="195"/>
      <c r="B58" s="234"/>
      <c r="C58" s="234"/>
      <c r="D58" s="234"/>
      <c r="E58" s="234"/>
      <c r="F58" s="234"/>
      <c r="G58" s="234"/>
      <c r="H58" s="234"/>
      <c r="I58" s="234"/>
      <c r="J58" s="234"/>
      <c r="K58" s="234"/>
      <c r="L58" s="234"/>
      <c r="M58" s="234"/>
      <c r="N58" s="234"/>
      <c r="O58" s="234"/>
      <c r="P58" s="234"/>
      <c r="Q58" s="234"/>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row>
    <row r="59" spans="1:112" x14ac:dyDescent="0.25">
      <c r="A59" s="195"/>
      <c r="B59" s="234"/>
      <c r="C59" s="234"/>
      <c r="D59" s="234"/>
      <c r="E59" s="234"/>
      <c r="F59" s="234"/>
      <c r="G59" s="234"/>
      <c r="H59" s="234"/>
      <c r="I59" s="234"/>
      <c r="J59" s="234"/>
      <c r="K59" s="234"/>
      <c r="L59" s="234"/>
      <c r="M59" s="234"/>
      <c r="N59" s="234"/>
      <c r="O59" s="234"/>
      <c r="P59" s="234"/>
      <c r="Q59" s="234"/>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row>
    <row r="60" spans="1:112" x14ac:dyDescent="0.25">
      <c r="A60" s="195"/>
      <c r="B60" s="234"/>
      <c r="C60" s="234"/>
      <c r="D60" s="234"/>
      <c r="E60" s="234"/>
      <c r="F60" s="234"/>
      <c r="G60" s="234"/>
      <c r="H60" s="234"/>
      <c r="I60" s="234"/>
      <c r="J60" s="234"/>
      <c r="K60" s="234"/>
      <c r="L60" s="234"/>
      <c r="M60" s="234"/>
      <c r="N60" s="234"/>
      <c r="O60" s="234"/>
      <c r="P60" s="234"/>
      <c r="Q60" s="234"/>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row>
    <row r="61" spans="1:112" x14ac:dyDescent="0.25">
      <c r="A61" s="195"/>
      <c r="B61" s="234"/>
      <c r="C61" s="234"/>
      <c r="D61" s="234"/>
      <c r="E61" s="234"/>
      <c r="F61" s="234"/>
      <c r="G61" s="234"/>
      <c r="H61" s="234"/>
      <c r="I61" s="234"/>
      <c r="J61" s="234"/>
      <c r="K61" s="234"/>
      <c r="L61" s="234"/>
      <c r="M61" s="234"/>
      <c r="N61" s="234"/>
      <c r="O61" s="234"/>
      <c r="P61" s="234"/>
      <c r="Q61" s="234"/>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row>
    <row r="62" spans="1:112" x14ac:dyDescent="0.25">
      <c r="A62" s="195"/>
      <c r="B62" s="234"/>
      <c r="C62" s="234"/>
      <c r="D62" s="234"/>
      <c r="E62" s="234"/>
      <c r="F62" s="234"/>
      <c r="G62" s="234"/>
      <c r="H62" s="234"/>
      <c r="I62" s="234"/>
      <c r="J62" s="234"/>
      <c r="K62" s="234"/>
      <c r="L62" s="234"/>
      <c r="M62" s="234"/>
      <c r="N62" s="234"/>
      <c r="O62" s="234"/>
      <c r="P62" s="234"/>
      <c r="Q62" s="234"/>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row>
    <row r="63" spans="1:112" x14ac:dyDescent="0.25">
      <c r="A63" s="195"/>
      <c r="B63" s="234"/>
      <c r="C63" s="234"/>
      <c r="D63" s="234"/>
      <c r="E63" s="234"/>
      <c r="F63" s="234"/>
      <c r="G63" s="234"/>
      <c r="H63" s="234"/>
      <c r="I63" s="234"/>
      <c r="J63" s="234"/>
      <c r="K63" s="234"/>
      <c r="L63" s="234"/>
      <c r="M63" s="234"/>
      <c r="N63" s="234"/>
      <c r="O63" s="234"/>
      <c r="P63" s="234"/>
      <c r="Q63" s="234"/>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row>
    <row r="64" spans="1:112" x14ac:dyDescent="0.25">
      <c r="A64" s="195"/>
      <c r="B64" s="234"/>
      <c r="C64" s="234"/>
      <c r="D64" s="234"/>
      <c r="E64" s="234"/>
      <c r="F64" s="234"/>
      <c r="G64" s="234"/>
      <c r="H64" s="234"/>
      <c r="I64" s="234"/>
      <c r="J64" s="234"/>
      <c r="K64" s="234"/>
      <c r="L64" s="234"/>
      <c r="M64" s="234"/>
      <c r="N64" s="234"/>
      <c r="O64" s="234"/>
      <c r="P64" s="234"/>
      <c r="Q64" s="234"/>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row>
    <row r="65" spans="1:112" x14ac:dyDescent="0.25">
      <c r="A65" s="195"/>
      <c r="B65" s="234"/>
      <c r="C65" s="234"/>
      <c r="D65" s="234"/>
      <c r="E65" s="234"/>
      <c r="F65" s="234"/>
      <c r="G65" s="234"/>
      <c r="H65" s="234"/>
      <c r="I65" s="234"/>
      <c r="J65" s="234"/>
      <c r="K65" s="234"/>
      <c r="L65" s="234"/>
      <c r="M65" s="234"/>
      <c r="N65" s="234"/>
      <c r="O65" s="234"/>
      <c r="P65" s="234"/>
      <c r="Q65" s="234"/>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row>
    <row r="66" spans="1:112" x14ac:dyDescent="0.25">
      <c r="A66" s="195"/>
      <c r="B66" s="234"/>
      <c r="C66" s="234"/>
      <c r="D66" s="234"/>
      <c r="E66" s="234"/>
      <c r="F66" s="234"/>
      <c r="G66" s="234"/>
      <c r="H66" s="234"/>
      <c r="I66" s="234"/>
      <c r="J66" s="234"/>
      <c r="K66" s="234"/>
      <c r="L66" s="234"/>
      <c r="M66" s="234"/>
      <c r="N66" s="234"/>
      <c r="O66" s="234"/>
      <c r="P66" s="234"/>
      <c r="Q66" s="234"/>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row>
    <row r="67" spans="1:112" x14ac:dyDescent="0.25">
      <c r="A67" s="195"/>
      <c r="B67" s="234"/>
      <c r="C67" s="234"/>
      <c r="D67" s="234"/>
      <c r="E67" s="234"/>
      <c r="F67" s="234"/>
      <c r="G67" s="234"/>
      <c r="H67" s="234"/>
      <c r="I67" s="234"/>
      <c r="J67" s="234"/>
      <c r="K67" s="234"/>
      <c r="L67" s="234"/>
      <c r="M67" s="234"/>
      <c r="N67" s="234"/>
      <c r="O67" s="234"/>
      <c r="P67" s="234"/>
      <c r="Q67" s="234"/>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row>
    <row r="68" spans="1:112" x14ac:dyDescent="0.25">
      <c r="A68" s="195"/>
      <c r="B68" s="234"/>
      <c r="C68" s="234"/>
      <c r="D68" s="234"/>
      <c r="E68" s="234"/>
      <c r="F68" s="234"/>
      <c r="G68" s="234"/>
      <c r="H68" s="234"/>
      <c r="I68" s="234"/>
      <c r="J68" s="234"/>
      <c r="K68" s="234"/>
      <c r="L68" s="234"/>
      <c r="M68" s="234"/>
      <c r="N68" s="234"/>
      <c r="O68" s="234"/>
      <c r="P68" s="234"/>
      <c r="Q68" s="234"/>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row>
    <row r="69" spans="1:112" x14ac:dyDescent="0.25">
      <c r="A69" s="195"/>
      <c r="B69" s="234"/>
      <c r="C69" s="234"/>
      <c r="D69" s="234"/>
      <c r="E69" s="234"/>
      <c r="F69" s="234"/>
      <c r="G69" s="234"/>
      <c r="H69" s="234"/>
      <c r="I69" s="234"/>
      <c r="J69" s="234"/>
      <c r="K69" s="234"/>
      <c r="L69" s="234"/>
      <c r="M69" s="234"/>
      <c r="N69" s="234"/>
      <c r="O69" s="234"/>
      <c r="P69" s="234"/>
      <c r="Q69" s="234"/>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row>
    <row r="70" spans="1:112" x14ac:dyDescent="0.25">
      <c r="A70" s="195"/>
      <c r="B70" s="234"/>
      <c r="C70" s="234"/>
      <c r="D70" s="234"/>
      <c r="E70" s="234"/>
      <c r="F70" s="234"/>
      <c r="G70" s="234"/>
      <c r="H70" s="234"/>
      <c r="I70" s="234"/>
      <c r="J70" s="234"/>
      <c r="K70" s="234"/>
      <c r="L70" s="234"/>
      <c r="M70" s="234"/>
      <c r="N70" s="234"/>
      <c r="O70" s="234"/>
      <c r="P70" s="234"/>
      <c r="Q70" s="234"/>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row>
    <row r="71" spans="1:112" x14ac:dyDescent="0.25">
      <c r="A71" s="195"/>
      <c r="B71" s="234"/>
      <c r="C71" s="234"/>
      <c r="D71" s="234"/>
      <c r="E71" s="234"/>
      <c r="F71" s="234"/>
      <c r="G71" s="234"/>
      <c r="H71" s="234"/>
      <c r="I71" s="234"/>
      <c r="J71" s="234"/>
      <c r="K71" s="234"/>
      <c r="L71" s="234"/>
      <c r="M71" s="234"/>
      <c r="N71" s="234"/>
      <c r="O71" s="234"/>
      <c r="P71" s="234"/>
      <c r="Q71" s="234"/>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row>
    <row r="72" spans="1:112" x14ac:dyDescent="0.25">
      <c r="A72" s="195"/>
      <c r="B72" s="234"/>
      <c r="C72" s="234"/>
      <c r="D72" s="234"/>
      <c r="E72" s="234"/>
      <c r="F72" s="234"/>
      <c r="G72" s="234"/>
      <c r="H72" s="234"/>
      <c r="I72" s="234"/>
      <c r="J72" s="234"/>
      <c r="K72" s="234"/>
      <c r="L72" s="234"/>
      <c r="M72" s="234"/>
      <c r="N72" s="234"/>
      <c r="O72" s="234"/>
      <c r="P72" s="234"/>
      <c r="Q72" s="234"/>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row>
    <row r="73" spans="1:112" x14ac:dyDescent="0.25">
      <c r="A73" s="195"/>
      <c r="B73" s="234"/>
      <c r="C73" s="234"/>
      <c r="D73" s="234"/>
      <c r="E73" s="234"/>
      <c r="F73" s="234"/>
      <c r="G73" s="234"/>
      <c r="H73" s="234"/>
      <c r="I73" s="234"/>
      <c r="J73" s="234"/>
      <c r="K73" s="234"/>
      <c r="L73" s="234"/>
      <c r="M73" s="234"/>
      <c r="N73" s="234"/>
      <c r="O73" s="234"/>
      <c r="P73" s="234"/>
      <c r="Q73" s="234"/>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row>
    <row r="74" spans="1:112" x14ac:dyDescent="0.25">
      <c r="A74" s="195"/>
      <c r="B74" s="234"/>
      <c r="C74" s="234"/>
      <c r="D74" s="234"/>
      <c r="E74" s="234"/>
      <c r="F74" s="234"/>
      <c r="G74" s="234"/>
      <c r="H74" s="234"/>
      <c r="I74" s="234"/>
      <c r="J74" s="234"/>
      <c r="K74" s="234"/>
      <c r="L74" s="234"/>
      <c r="M74" s="234"/>
      <c r="N74" s="234"/>
      <c r="O74" s="234"/>
      <c r="P74" s="234"/>
      <c r="Q74" s="234"/>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row>
    <row r="75" spans="1:112" x14ac:dyDescent="0.25">
      <c r="A75" s="195"/>
      <c r="B75" s="234"/>
      <c r="C75" s="234"/>
      <c r="D75" s="234"/>
      <c r="E75" s="234"/>
      <c r="F75" s="234"/>
      <c r="G75" s="234"/>
      <c r="H75" s="234"/>
      <c r="I75" s="234"/>
      <c r="J75" s="234"/>
      <c r="K75" s="234"/>
      <c r="L75" s="234"/>
      <c r="M75" s="234"/>
      <c r="N75" s="234"/>
      <c r="O75" s="234"/>
      <c r="P75" s="234"/>
      <c r="Q75" s="234"/>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row>
    <row r="76" spans="1:112" x14ac:dyDescent="0.25">
      <c r="A76" s="195"/>
      <c r="B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row>
    <row r="77" spans="1:112" x14ac:dyDescent="0.25">
      <c r="A77" s="195"/>
      <c r="B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row>
    <row r="78" spans="1:112" x14ac:dyDescent="0.25">
      <c r="A78" s="195"/>
      <c r="B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row>
    <row r="79" spans="1:112" x14ac:dyDescent="0.25">
      <c r="A79" s="195"/>
      <c r="B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row>
    <row r="80" spans="1:112" x14ac:dyDescent="0.25">
      <c r="A80" s="195"/>
      <c r="B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row>
    <row r="81" spans="1:112" x14ac:dyDescent="0.25">
      <c r="A81" s="195"/>
      <c r="B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row>
    <row r="82" spans="1:112" x14ac:dyDescent="0.25">
      <c r="A82" s="195"/>
      <c r="B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row>
    <row r="83" spans="1:112" x14ac:dyDescent="0.25">
      <c r="A83" s="195"/>
      <c r="B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row>
    <row r="84" spans="1:112" x14ac:dyDescent="0.25">
      <c r="A84" s="195"/>
      <c r="B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row>
    <row r="85" spans="1:112" x14ac:dyDescent="0.25">
      <c r="A85" s="195"/>
      <c r="B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row>
    <row r="86" spans="1:112" x14ac:dyDescent="0.25">
      <c r="A86" s="195"/>
      <c r="B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row>
    <row r="87" spans="1:112" x14ac:dyDescent="0.25">
      <c r="A87" s="195"/>
      <c r="B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row>
    <row r="88" spans="1:112" x14ac:dyDescent="0.25">
      <c r="A88" s="195"/>
      <c r="B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row>
    <row r="89" spans="1:112" x14ac:dyDescent="0.25">
      <c r="A89" s="195"/>
      <c r="B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row>
    <row r="90" spans="1:112" x14ac:dyDescent="0.25">
      <c r="A90" s="195"/>
      <c r="B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row>
    <row r="91" spans="1:112" x14ac:dyDescent="0.25">
      <c r="A91" s="195"/>
      <c r="B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row>
    <row r="92" spans="1:112" x14ac:dyDescent="0.25">
      <c r="A92" s="195"/>
      <c r="B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row>
    <row r="93" spans="1:112" x14ac:dyDescent="0.25">
      <c r="A93" s="195"/>
      <c r="B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row>
    <row r="94" spans="1:112" x14ac:dyDescent="0.25">
      <c r="A94" s="195"/>
      <c r="B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row>
    <row r="95" spans="1:112" x14ac:dyDescent="0.25">
      <c r="A95" s="195"/>
      <c r="B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row>
    <row r="96" spans="1:112" x14ac:dyDescent="0.25">
      <c r="A96" s="195"/>
      <c r="B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row>
    <row r="97" spans="1:112" x14ac:dyDescent="0.25">
      <c r="A97" s="195"/>
      <c r="B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row>
    <row r="98" spans="1:112" x14ac:dyDescent="0.25">
      <c r="A98" s="195"/>
      <c r="B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row>
    <row r="99" spans="1:112" x14ac:dyDescent="0.25">
      <c r="A99" s="195"/>
      <c r="B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row>
    <row r="100" spans="1:112" x14ac:dyDescent="0.25">
      <c r="A100" s="195"/>
      <c r="B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row>
    <row r="101" spans="1:112" x14ac:dyDescent="0.25">
      <c r="A101" s="195"/>
      <c r="B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row>
    <row r="102" spans="1:112" x14ac:dyDescent="0.25">
      <c r="A102" s="195"/>
      <c r="B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row>
    <row r="103" spans="1:112" x14ac:dyDescent="0.25">
      <c r="A103" s="195"/>
      <c r="B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row>
    <row r="104" spans="1:112" x14ac:dyDescent="0.25">
      <c r="A104" s="195"/>
      <c r="B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row>
    <row r="105" spans="1:112" x14ac:dyDescent="0.25">
      <c r="A105" s="195"/>
      <c r="B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row>
    <row r="106" spans="1:112" x14ac:dyDescent="0.25">
      <c r="A106" s="195"/>
      <c r="B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row>
    <row r="107" spans="1:112" x14ac:dyDescent="0.25">
      <c r="A107" s="195"/>
      <c r="B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row>
    <row r="108" spans="1:112" x14ac:dyDescent="0.25">
      <c r="A108" s="195"/>
      <c r="B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c r="CX108" s="195"/>
      <c r="CY108" s="195"/>
      <c r="CZ108" s="195"/>
      <c r="DA108" s="195"/>
      <c r="DB108" s="195"/>
      <c r="DC108" s="195"/>
      <c r="DD108" s="195"/>
      <c r="DE108" s="195"/>
      <c r="DF108" s="195"/>
      <c r="DG108" s="195"/>
      <c r="DH108" s="195"/>
    </row>
    <row r="109" spans="1:112" x14ac:dyDescent="0.25">
      <c r="A109" s="195"/>
      <c r="B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row>
    <row r="110" spans="1:112" x14ac:dyDescent="0.25">
      <c r="A110" s="195"/>
      <c r="B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row>
    <row r="111" spans="1:112" x14ac:dyDescent="0.25">
      <c r="A111" s="195"/>
      <c r="B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row>
    <row r="112" spans="1:112" x14ac:dyDescent="0.25">
      <c r="A112" s="195"/>
      <c r="B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5"/>
      <c r="DD112" s="195"/>
      <c r="DE112" s="195"/>
      <c r="DF112" s="195"/>
      <c r="DG112" s="195"/>
      <c r="DH112" s="195"/>
    </row>
    <row r="113" spans="1:112" x14ac:dyDescent="0.25">
      <c r="A113" s="195"/>
      <c r="B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row>
    <row r="114" spans="1:112" x14ac:dyDescent="0.25">
      <c r="A114" s="195"/>
      <c r="B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row>
    <row r="115" spans="1:112" x14ac:dyDescent="0.25">
      <c r="A115" s="195"/>
      <c r="B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row>
    <row r="116" spans="1:112" x14ac:dyDescent="0.25">
      <c r="A116" s="195"/>
      <c r="B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row>
    <row r="117" spans="1:112" x14ac:dyDescent="0.25">
      <c r="A117" s="195"/>
      <c r="B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row>
    <row r="118" spans="1:112" x14ac:dyDescent="0.25">
      <c r="A118" s="195"/>
      <c r="B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row>
    <row r="119" spans="1:112" x14ac:dyDescent="0.25">
      <c r="A119" s="195"/>
      <c r="B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row>
    <row r="120" spans="1:112" x14ac:dyDescent="0.25">
      <c r="A120" s="195"/>
      <c r="B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row>
    <row r="121" spans="1:112" x14ac:dyDescent="0.25">
      <c r="A121" s="195"/>
      <c r="B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row>
    <row r="122" spans="1:112" x14ac:dyDescent="0.25">
      <c r="A122" s="195"/>
      <c r="B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row>
    <row r="123" spans="1:112" x14ac:dyDescent="0.25">
      <c r="A123" s="195"/>
      <c r="B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row>
    <row r="124" spans="1:112" x14ac:dyDescent="0.25">
      <c r="A124" s="195"/>
      <c r="B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row>
    <row r="125" spans="1:112" x14ac:dyDescent="0.25">
      <c r="A125" s="195"/>
      <c r="B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row>
    <row r="126" spans="1:112" x14ac:dyDescent="0.25">
      <c r="A126" s="195"/>
      <c r="B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row>
    <row r="127" spans="1:112" x14ac:dyDescent="0.25">
      <c r="A127" s="195"/>
      <c r="B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row>
    <row r="128" spans="1:112" x14ac:dyDescent="0.25">
      <c r="A128" s="195"/>
      <c r="B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row>
    <row r="129" spans="1:112" x14ac:dyDescent="0.25">
      <c r="A129" s="195"/>
      <c r="B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row>
    <row r="130" spans="1:112" x14ac:dyDescent="0.25">
      <c r="A130" s="195"/>
      <c r="B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row>
    <row r="131" spans="1:112" x14ac:dyDescent="0.25">
      <c r="A131" s="195"/>
      <c r="B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row>
    <row r="132" spans="1:112" x14ac:dyDescent="0.25">
      <c r="A132" s="195"/>
      <c r="B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row>
    <row r="133" spans="1:112" x14ac:dyDescent="0.25">
      <c r="A133" s="195"/>
      <c r="B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row>
    <row r="134" spans="1:112" x14ac:dyDescent="0.25">
      <c r="A134" s="195"/>
      <c r="B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row>
    <row r="135" spans="1:112" x14ac:dyDescent="0.25">
      <c r="A135" s="195"/>
      <c r="B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row>
    <row r="136" spans="1:112" x14ac:dyDescent="0.25">
      <c r="A136" s="195"/>
      <c r="B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row>
    <row r="137" spans="1:112" x14ac:dyDescent="0.25">
      <c r="A137" s="195"/>
      <c r="B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row>
    <row r="138" spans="1:112" x14ac:dyDescent="0.25">
      <c r="A138" s="195"/>
      <c r="B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row>
    <row r="139" spans="1:112" x14ac:dyDescent="0.25">
      <c r="A139" s="195"/>
      <c r="B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row>
    <row r="140" spans="1:112" x14ac:dyDescent="0.25">
      <c r="A140" s="195"/>
      <c r="B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row>
    <row r="141" spans="1:112" x14ac:dyDescent="0.25">
      <c r="A141" s="195"/>
      <c r="B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row>
    <row r="142" spans="1:112" x14ac:dyDescent="0.25">
      <c r="A142" s="195"/>
      <c r="B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row>
    <row r="143" spans="1:112" x14ac:dyDescent="0.25">
      <c r="A143" s="195"/>
      <c r="B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row>
    <row r="144" spans="1:112" x14ac:dyDescent="0.25">
      <c r="A144" s="195"/>
      <c r="B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row>
    <row r="145" spans="1:112" x14ac:dyDescent="0.25">
      <c r="A145" s="195"/>
      <c r="B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row>
    <row r="146" spans="1:112" x14ac:dyDescent="0.25">
      <c r="A146" s="195"/>
      <c r="B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row>
    <row r="147" spans="1:112" x14ac:dyDescent="0.25">
      <c r="A147" s="195"/>
      <c r="B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row>
    <row r="148" spans="1:112" x14ac:dyDescent="0.25">
      <c r="A148" s="195"/>
      <c r="B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row>
    <row r="149" spans="1:112" x14ac:dyDescent="0.25">
      <c r="A149" s="195"/>
      <c r="B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row>
    <row r="150" spans="1:112" x14ac:dyDescent="0.25">
      <c r="A150" s="195"/>
      <c r="B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row>
    <row r="151" spans="1:112" x14ac:dyDescent="0.25">
      <c r="A151" s="195"/>
      <c r="B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row>
    <row r="152" spans="1:112" x14ac:dyDescent="0.25">
      <c r="A152" s="195"/>
      <c r="B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row>
    <row r="153" spans="1:112" x14ac:dyDescent="0.25">
      <c r="A153" s="195"/>
      <c r="B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row>
    <row r="154" spans="1:112" x14ac:dyDescent="0.25">
      <c r="A154" s="195"/>
      <c r="B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row>
    <row r="155" spans="1:112" x14ac:dyDescent="0.25">
      <c r="A155" s="195"/>
      <c r="B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row>
    <row r="156" spans="1:112" x14ac:dyDescent="0.25">
      <c r="A156" s="195"/>
      <c r="B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row>
    <row r="157" spans="1:112" x14ac:dyDescent="0.25">
      <c r="A157" s="195"/>
      <c r="B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row>
    <row r="158" spans="1:112" x14ac:dyDescent="0.25">
      <c r="A158" s="195"/>
      <c r="B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row>
    <row r="159" spans="1:112" x14ac:dyDescent="0.25">
      <c r="A159" s="195"/>
      <c r="B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row>
    <row r="160" spans="1:112" x14ac:dyDescent="0.25">
      <c r="A160" s="195"/>
      <c r="B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row>
    <row r="161" spans="1:112" x14ac:dyDescent="0.25">
      <c r="A161" s="195"/>
      <c r="B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row>
    <row r="162" spans="1:112" x14ac:dyDescent="0.25">
      <c r="A162" s="195"/>
      <c r="B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row>
    <row r="163" spans="1:112" x14ac:dyDescent="0.25">
      <c r="A163" s="195"/>
      <c r="B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row>
    <row r="164" spans="1:112" x14ac:dyDescent="0.25">
      <c r="A164" s="195"/>
      <c r="B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row>
    <row r="165" spans="1:112" x14ac:dyDescent="0.25">
      <c r="A165" s="195"/>
      <c r="B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row>
    <row r="166" spans="1:112" x14ac:dyDescent="0.25">
      <c r="A166" s="195"/>
      <c r="B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row>
    <row r="167" spans="1:112" x14ac:dyDescent="0.25">
      <c r="A167" s="195"/>
      <c r="B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row>
    <row r="168" spans="1:112" x14ac:dyDescent="0.25">
      <c r="A168" s="195"/>
      <c r="B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row>
    <row r="169" spans="1:112" x14ac:dyDescent="0.25">
      <c r="A169" s="195"/>
      <c r="B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row>
    <row r="170" spans="1:112" x14ac:dyDescent="0.25">
      <c r="A170" s="195"/>
      <c r="B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row>
    <row r="171" spans="1:112" x14ac:dyDescent="0.25">
      <c r="A171" s="195"/>
      <c r="B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row>
    <row r="172" spans="1:112" x14ac:dyDescent="0.25">
      <c r="A172" s="195"/>
      <c r="B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row>
    <row r="173" spans="1:112" x14ac:dyDescent="0.25">
      <c r="A173" s="195"/>
      <c r="B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row>
    <row r="174" spans="1:112" x14ac:dyDescent="0.25">
      <c r="A174" s="195"/>
      <c r="B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row>
    <row r="175" spans="1:112" x14ac:dyDescent="0.25">
      <c r="A175" s="195"/>
      <c r="B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row>
    <row r="176" spans="1:112" x14ac:dyDescent="0.25">
      <c r="A176" s="195"/>
      <c r="B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row>
    <row r="177" spans="1:112" x14ac:dyDescent="0.25">
      <c r="A177" s="195"/>
      <c r="B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row>
    <row r="178" spans="1:112" x14ac:dyDescent="0.25">
      <c r="A178" s="195"/>
      <c r="B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row>
    <row r="179" spans="1:112" x14ac:dyDescent="0.25">
      <c r="A179" s="195"/>
      <c r="B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row>
    <row r="180" spans="1:112" x14ac:dyDescent="0.25">
      <c r="A180" s="195"/>
      <c r="B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row>
    <row r="181" spans="1:112" x14ac:dyDescent="0.25">
      <c r="A181" s="195"/>
      <c r="B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row>
    <row r="182" spans="1:112" x14ac:dyDescent="0.25">
      <c r="A182" s="195"/>
      <c r="B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row>
    <row r="183" spans="1:112" x14ac:dyDescent="0.25">
      <c r="A183" s="195"/>
      <c r="B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row>
    <row r="184" spans="1:112" x14ac:dyDescent="0.25">
      <c r="A184" s="195"/>
      <c r="B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row>
    <row r="185" spans="1:112" x14ac:dyDescent="0.25">
      <c r="A185" s="195"/>
      <c r="B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row>
    <row r="186" spans="1:112" x14ac:dyDescent="0.25">
      <c r="A186" s="195"/>
      <c r="B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row>
    <row r="187" spans="1:112" x14ac:dyDescent="0.25">
      <c r="A187" s="195"/>
      <c r="B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row>
    <row r="188" spans="1:112" x14ac:dyDescent="0.25">
      <c r="A188" s="195"/>
      <c r="B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row>
    <row r="189" spans="1:112" x14ac:dyDescent="0.25">
      <c r="A189" s="195"/>
      <c r="B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row>
    <row r="190" spans="1:112" x14ac:dyDescent="0.25">
      <c r="A190" s="195"/>
      <c r="B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row>
    <row r="191" spans="1:112" x14ac:dyDescent="0.25">
      <c r="A191" s="195"/>
      <c r="B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row>
    <row r="192" spans="1:112" x14ac:dyDescent="0.25">
      <c r="A192" s="195"/>
      <c r="B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row>
    <row r="193" spans="1:112" x14ac:dyDescent="0.25">
      <c r="A193" s="195"/>
      <c r="B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row>
    <row r="194" spans="1:112" x14ac:dyDescent="0.25">
      <c r="A194" s="195"/>
      <c r="B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row>
    <row r="195" spans="1:112" x14ac:dyDescent="0.25">
      <c r="A195" s="195"/>
      <c r="B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row>
    <row r="196" spans="1:112" x14ac:dyDescent="0.25">
      <c r="A196" s="195"/>
      <c r="B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row>
    <row r="197" spans="1:112" x14ac:dyDescent="0.25">
      <c r="A197" s="195"/>
      <c r="B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row>
    <row r="198" spans="1:112" x14ac:dyDescent="0.25">
      <c r="A198" s="195"/>
      <c r="B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row>
    <row r="199" spans="1:112" x14ac:dyDescent="0.25">
      <c r="A199" s="195"/>
      <c r="B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row>
    <row r="200" spans="1:112" x14ac:dyDescent="0.25">
      <c r="A200" s="195"/>
      <c r="B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row>
    <row r="201" spans="1:112" x14ac:dyDescent="0.25">
      <c r="A201" s="195"/>
      <c r="B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row>
    <row r="202" spans="1:112" x14ac:dyDescent="0.25">
      <c r="A202" s="195"/>
      <c r="B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row>
    <row r="203" spans="1:112" x14ac:dyDescent="0.25">
      <c r="A203" s="195"/>
      <c r="B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row>
    <row r="204" spans="1:112" x14ac:dyDescent="0.25">
      <c r="A204" s="195"/>
      <c r="B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row>
    <row r="205" spans="1:112" x14ac:dyDescent="0.25">
      <c r="A205" s="195"/>
      <c r="B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row>
    <row r="206" spans="1:112" x14ac:dyDescent="0.25">
      <c r="A206" s="195"/>
      <c r="B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row>
    <row r="207" spans="1:112" x14ac:dyDescent="0.25">
      <c r="A207" s="195"/>
      <c r="B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row>
    <row r="208" spans="1:112" x14ac:dyDescent="0.25">
      <c r="A208" s="195"/>
      <c r="B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row>
    <row r="209" spans="1:112" x14ac:dyDescent="0.25">
      <c r="A209" s="195"/>
      <c r="B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row>
    <row r="210" spans="1:112" x14ac:dyDescent="0.25">
      <c r="A210" s="195"/>
      <c r="B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row>
    <row r="211" spans="1:112" x14ac:dyDescent="0.25">
      <c r="A211" s="195"/>
      <c r="B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row>
    <row r="212" spans="1:112" x14ac:dyDescent="0.25">
      <c r="A212" s="195"/>
      <c r="B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row>
    <row r="213" spans="1:112" x14ac:dyDescent="0.25">
      <c r="A213" s="195"/>
      <c r="B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row>
    <row r="214" spans="1:112" x14ac:dyDescent="0.25">
      <c r="A214" s="195"/>
      <c r="B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row>
    <row r="215" spans="1:112" x14ac:dyDescent="0.25">
      <c r="A215" s="195"/>
      <c r="B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row>
    <row r="216" spans="1:112" x14ac:dyDescent="0.25">
      <c r="A216" s="195"/>
      <c r="B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row>
    <row r="217" spans="1:112" x14ac:dyDescent="0.25">
      <c r="A217" s="195"/>
      <c r="B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row>
    <row r="218" spans="1:112" x14ac:dyDescent="0.25">
      <c r="A218" s="195"/>
      <c r="B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row>
    <row r="219" spans="1:112" x14ac:dyDescent="0.25">
      <c r="A219" s="195"/>
      <c r="B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row>
    <row r="220" spans="1:112" x14ac:dyDescent="0.25">
      <c r="A220" s="195"/>
      <c r="B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row>
    <row r="221" spans="1:112" x14ac:dyDescent="0.25">
      <c r="A221" s="195"/>
      <c r="B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row>
    <row r="222" spans="1:112" x14ac:dyDescent="0.25">
      <c r="A222" s="195"/>
      <c r="B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row>
    <row r="223" spans="1:112" x14ac:dyDescent="0.25">
      <c r="A223" s="195"/>
      <c r="B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row>
    <row r="224" spans="1:112" x14ac:dyDescent="0.25">
      <c r="A224" s="195"/>
      <c r="B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row>
    <row r="225" spans="1:112" x14ac:dyDescent="0.25">
      <c r="A225" s="195"/>
      <c r="B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row>
    <row r="226" spans="1:112" x14ac:dyDescent="0.25">
      <c r="A226" s="195"/>
      <c r="B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row>
    <row r="227" spans="1:112" x14ac:dyDescent="0.25">
      <c r="A227" s="195"/>
      <c r="B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row>
    <row r="228" spans="1:112" x14ac:dyDescent="0.25">
      <c r="A228" s="195"/>
      <c r="B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row>
    <row r="229" spans="1:112" x14ac:dyDescent="0.25">
      <c r="A229" s="195"/>
      <c r="B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row>
    <row r="230" spans="1:112" x14ac:dyDescent="0.25">
      <c r="A230" s="195"/>
      <c r="B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row>
    <row r="231" spans="1:112" x14ac:dyDescent="0.25">
      <c r="A231" s="195"/>
      <c r="B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row>
    <row r="232" spans="1:112" x14ac:dyDescent="0.25">
      <c r="A232" s="195"/>
      <c r="B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row>
    <row r="233" spans="1:112" x14ac:dyDescent="0.25">
      <c r="A233" s="195"/>
      <c r="B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row>
    <row r="234" spans="1:112" x14ac:dyDescent="0.25">
      <c r="A234" s="195"/>
      <c r="B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row>
    <row r="235" spans="1:112" x14ac:dyDescent="0.25">
      <c r="A235" s="195"/>
      <c r="B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row>
    <row r="236" spans="1:112" x14ac:dyDescent="0.25">
      <c r="A236" s="195"/>
      <c r="B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row>
    <row r="237" spans="1:112" x14ac:dyDescent="0.25">
      <c r="A237" s="195"/>
      <c r="B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row>
    <row r="238" spans="1:112" x14ac:dyDescent="0.25">
      <c r="A238" s="195"/>
      <c r="B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row>
    <row r="239" spans="1:112" x14ac:dyDescent="0.25">
      <c r="A239" s="195"/>
      <c r="B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row>
    <row r="240" spans="1:112" x14ac:dyDescent="0.25">
      <c r="A240" s="195"/>
      <c r="B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row>
    <row r="241" spans="1:112" x14ac:dyDescent="0.25">
      <c r="A241" s="195"/>
      <c r="B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row>
    <row r="242" spans="1:112" x14ac:dyDescent="0.25">
      <c r="A242" s="195"/>
      <c r="B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row>
    <row r="243" spans="1:112" x14ac:dyDescent="0.25">
      <c r="A243" s="195"/>
      <c r="B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row>
    <row r="244" spans="1:112" x14ac:dyDescent="0.25">
      <c r="A244" s="195"/>
      <c r="B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row>
    <row r="245" spans="1:112" x14ac:dyDescent="0.25">
      <c r="A245" s="195"/>
      <c r="B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row>
    <row r="246" spans="1:112" x14ac:dyDescent="0.25">
      <c r="A246" s="195"/>
      <c r="B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row>
    <row r="247" spans="1:112" x14ac:dyDescent="0.25">
      <c r="A247" s="195"/>
      <c r="B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row>
    <row r="248" spans="1:112" x14ac:dyDescent="0.25">
      <c r="A248" s="195"/>
      <c r="B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row>
    <row r="249" spans="1:112" x14ac:dyDescent="0.25">
      <c r="A249" s="195"/>
      <c r="B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row>
    <row r="250" spans="1:112" x14ac:dyDescent="0.25">
      <c r="A250" s="195"/>
      <c r="B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row>
    <row r="251" spans="1:112" x14ac:dyDescent="0.25">
      <c r="A251" s="195"/>
      <c r="B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row>
    <row r="252" spans="1:112" x14ac:dyDescent="0.25">
      <c r="A252" s="195"/>
      <c r="B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row>
    <row r="253" spans="1:112" x14ac:dyDescent="0.25">
      <c r="A253" s="195"/>
      <c r="B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row>
    <row r="254" spans="1:112" x14ac:dyDescent="0.25">
      <c r="A254" s="195"/>
      <c r="B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row>
    <row r="255" spans="1:112" x14ac:dyDescent="0.25">
      <c r="A255" s="195"/>
      <c r="B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row>
    <row r="256" spans="1:112" x14ac:dyDescent="0.25">
      <c r="A256" s="195"/>
      <c r="B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row>
    <row r="257" spans="1:112" x14ac:dyDescent="0.25">
      <c r="A257" s="195"/>
      <c r="B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row>
    <row r="258" spans="1:112" x14ac:dyDescent="0.25">
      <c r="A258" s="195"/>
      <c r="B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row>
    <row r="259" spans="1:112" x14ac:dyDescent="0.25">
      <c r="A259" s="195"/>
      <c r="B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row>
    <row r="260" spans="1:112" x14ac:dyDescent="0.25">
      <c r="A260" s="195"/>
      <c r="B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row>
    <row r="261" spans="1:112" x14ac:dyDescent="0.25">
      <c r="A261" s="195"/>
      <c r="B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row>
    <row r="262" spans="1:112" x14ac:dyDescent="0.25">
      <c r="A262" s="195"/>
      <c r="B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row>
    <row r="263" spans="1:112" x14ac:dyDescent="0.25">
      <c r="A263" s="195"/>
      <c r="B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row>
    <row r="264" spans="1:112" x14ac:dyDescent="0.25">
      <c r="A264" s="195"/>
      <c r="B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row>
    <row r="265" spans="1:112" x14ac:dyDescent="0.25">
      <c r="A265" s="195"/>
      <c r="B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row>
    <row r="266" spans="1:112" x14ac:dyDescent="0.25">
      <c r="A266" s="195"/>
      <c r="B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row>
    <row r="267" spans="1:112" x14ac:dyDescent="0.25">
      <c r="A267" s="195"/>
      <c r="B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row>
    <row r="268" spans="1:112" x14ac:dyDescent="0.25">
      <c r="A268" s="195"/>
      <c r="B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row>
    <row r="269" spans="1:112" x14ac:dyDescent="0.25">
      <c r="A269" s="195"/>
      <c r="B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row>
    <row r="270" spans="1:112" x14ac:dyDescent="0.25">
      <c r="A270" s="195"/>
      <c r="B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row>
    <row r="271" spans="1:112" x14ac:dyDescent="0.25">
      <c r="A271" s="195"/>
      <c r="B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row>
    <row r="272" spans="1:112" x14ac:dyDescent="0.25">
      <c r="A272" s="195"/>
      <c r="B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row>
    <row r="273" spans="1:112" x14ac:dyDescent="0.25">
      <c r="A273" s="195"/>
      <c r="B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row>
    <row r="274" spans="1:112" x14ac:dyDescent="0.25">
      <c r="A274" s="195"/>
      <c r="B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row>
    <row r="275" spans="1:112" x14ac:dyDescent="0.25">
      <c r="A275" s="195"/>
      <c r="B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row>
    <row r="276" spans="1:112" x14ac:dyDescent="0.25">
      <c r="A276" s="195"/>
      <c r="B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row>
    <row r="277" spans="1:112" x14ac:dyDescent="0.25">
      <c r="A277" s="195"/>
      <c r="B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row>
    <row r="278" spans="1:112" x14ac:dyDescent="0.25">
      <c r="A278" s="195"/>
      <c r="B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row>
    <row r="279" spans="1:112" x14ac:dyDescent="0.25">
      <c r="A279" s="195"/>
      <c r="B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row>
    <row r="280" spans="1:112" x14ac:dyDescent="0.25">
      <c r="A280" s="195"/>
      <c r="B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row>
    <row r="281" spans="1:112" x14ac:dyDescent="0.25">
      <c r="A281" s="195"/>
      <c r="B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row>
    <row r="282" spans="1:112" x14ac:dyDescent="0.25">
      <c r="A282" s="195"/>
      <c r="B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row>
    <row r="283" spans="1:112" x14ac:dyDescent="0.25">
      <c r="A283" s="195"/>
      <c r="B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row>
    <row r="284" spans="1:112" x14ac:dyDescent="0.25">
      <c r="A284" s="195"/>
      <c r="B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row>
    <row r="285" spans="1:112" x14ac:dyDescent="0.25">
      <c r="A285" s="195"/>
      <c r="B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row>
    <row r="286" spans="1:112" x14ac:dyDescent="0.25">
      <c r="A286" s="195"/>
      <c r="B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row>
    <row r="287" spans="1:112" x14ac:dyDescent="0.25">
      <c r="A287" s="195"/>
      <c r="B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row>
    <row r="288" spans="1:112" x14ac:dyDescent="0.25">
      <c r="A288" s="195"/>
      <c r="B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row>
    <row r="289" spans="1:112" x14ac:dyDescent="0.25">
      <c r="A289" s="195"/>
      <c r="B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row>
    <row r="290" spans="1:112" x14ac:dyDescent="0.25">
      <c r="A290" s="195"/>
      <c r="B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row>
    <row r="291" spans="1:112" x14ac:dyDescent="0.25">
      <c r="A291" s="195"/>
      <c r="B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row>
    <row r="292" spans="1:112" x14ac:dyDescent="0.25">
      <c r="A292" s="195"/>
      <c r="B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row>
    <row r="293" spans="1:112" x14ac:dyDescent="0.25">
      <c r="A293" s="195"/>
      <c r="B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row>
    <row r="294" spans="1:112" x14ac:dyDescent="0.25">
      <c r="A294" s="195"/>
      <c r="B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row>
    <row r="295" spans="1:112" x14ac:dyDescent="0.25">
      <c r="A295" s="195"/>
      <c r="B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row>
    <row r="296" spans="1:112" x14ac:dyDescent="0.25">
      <c r="A296" s="195"/>
      <c r="B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row>
    <row r="297" spans="1:112" x14ac:dyDescent="0.25">
      <c r="A297" s="195"/>
      <c r="B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row>
    <row r="298" spans="1:112" x14ac:dyDescent="0.25">
      <c r="A298" s="195"/>
      <c r="B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row>
    <row r="299" spans="1:112" x14ac:dyDescent="0.25">
      <c r="A299" s="195"/>
      <c r="B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row>
    <row r="300" spans="1:112" x14ac:dyDescent="0.25">
      <c r="A300" s="195"/>
      <c r="B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row>
    <row r="301" spans="1:112" x14ac:dyDescent="0.25">
      <c r="A301" s="195"/>
      <c r="B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row>
    <row r="302" spans="1:112" x14ac:dyDescent="0.25">
      <c r="A302" s="195"/>
      <c r="B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row>
    <row r="303" spans="1:112" x14ac:dyDescent="0.25">
      <c r="A303" s="195"/>
      <c r="B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row>
    <row r="304" spans="1:112" x14ac:dyDescent="0.25">
      <c r="A304" s="195"/>
      <c r="B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row>
    <row r="305" spans="1:112" x14ac:dyDescent="0.25">
      <c r="A305" s="195"/>
      <c r="B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row>
    <row r="306" spans="1:112" x14ac:dyDescent="0.25">
      <c r="A306" s="195"/>
      <c r="B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row>
    <row r="307" spans="1:112" x14ac:dyDescent="0.25">
      <c r="A307" s="195"/>
      <c r="B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row>
    <row r="308" spans="1:112" x14ac:dyDescent="0.25">
      <c r="A308" s="195"/>
      <c r="B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row>
    <row r="309" spans="1:112" x14ac:dyDescent="0.25">
      <c r="A309" s="195"/>
      <c r="B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row>
    <row r="310" spans="1:112" x14ac:dyDescent="0.25">
      <c r="A310" s="195"/>
      <c r="B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row>
    <row r="311" spans="1:112" x14ac:dyDescent="0.25">
      <c r="A311" s="195"/>
      <c r="B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row>
    <row r="312" spans="1:112" x14ac:dyDescent="0.25">
      <c r="A312" s="195"/>
      <c r="B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row>
    <row r="313" spans="1:112" x14ac:dyDescent="0.25">
      <c r="A313" s="195"/>
      <c r="B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row>
    <row r="314" spans="1:112" x14ac:dyDescent="0.25">
      <c r="A314" s="195"/>
      <c r="B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row>
    <row r="315" spans="1:112" x14ac:dyDescent="0.25">
      <c r="A315" s="195"/>
      <c r="B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row>
    <row r="316" spans="1:112" x14ac:dyDescent="0.25">
      <c r="A316" s="195"/>
      <c r="B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c r="CY316" s="195"/>
      <c r="CZ316" s="195"/>
      <c r="DA316" s="195"/>
      <c r="DB316" s="195"/>
      <c r="DC316" s="195"/>
      <c r="DD316" s="195"/>
      <c r="DE316" s="195"/>
      <c r="DF316" s="195"/>
      <c r="DG316" s="195"/>
      <c r="DH316" s="195"/>
    </row>
    <row r="317" spans="1:112" x14ac:dyDescent="0.25">
      <c r="A317" s="195"/>
      <c r="B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row>
    <row r="318" spans="1:112" x14ac:dyDescent="0.25">
      <c r="A318" s="195"/>
      <c r="B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row>
    <row r="319" spans="1:112" x14ac:dyDescent="0.25">
      <c r="A319" s="195"/>
      <c r="B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row>
    <row r="320" spans="1:112" x14ac:dyDescent="0.25">
      <c r="A320" s="195"/>
      <c r="B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row>
    <row r="321" spans="1:112" x14ac:dyDescent="0.25">
      <c r="A321" s="195"/>
      <c r="B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row>
    <row r="322" spans="1:112" x14ac:dyDescent="0.25">
      <c r="A322" s="195"/>
      <c r="B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row>
    <row r="323" spans="1:112" x14ac:dyDescent="0.25">
      <c r="A323" s="195"/>
      <c r="B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row>
    <row r="324" spans="1:112" x14ac:dyDescent="0.25">
      <c r="A324" s="195"/>
      <c r="B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row>
    <row r="325" spans="1:112" x14ac:dyDescent="0.25">
      <c r="A325" s="195"/>
      <c r="B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row>
    <row r="326" spans="1:112" x14ac:dyDescent="0.25">
      <c r="A326" s="195"/>
      <c r="B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row>
    <row r="327" spans="1:112" x14ac:dyDescent="0.25">
      <c r="A327" s="195"/>
      <c r="B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row>
    <row r="328" spans="1:112" x14ac:dyDescent="0.25">
      <c r="A328" s="195"/>
      <c r="B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row>
    <row r="329" spans="1:112" x14ac:dyDescent="0.25">
      <c r="A329" s="195"/>
      <c r="B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row>
    <row r="330" spans="1:112" x14ac:dyDescent="0.25">
      <c r="A330" s="195"/>
      <c r="B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row>
    <row r="331" spans="1:112" x14ac:dyDescent="0.25">
      <c r="A331" s="195"/>
      <c r="B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row>
    <row r="332" spans="1:112" x14ac:dyDescent="0.25">
      <c r="A332" s="195"/>
      <c r="B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row>
    <row r="333" spans="1:112" x14ac:dyDescent="0.25">
      <c r="A333" s="195"/>
      <c r="B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row>
    <row r="334" spans="1:112" x14ac:dyDescent="0.25">
      <c r="A334" s="195"/>
      <c r="B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row>
    <row r="335" spans="1:112" x14ac:dyDescent="0.25">
      <c r="A335" s="195"/>
      <c r="B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row>
    <row r="336" spans="1:112" x14ac:dyDescent="0.25">
      <c r="A336" s="195"/>
      <c r="B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row>
    <row r="337" spans="1:112" x14ac:dyDescent="0.25">
      <c r="A337" s="195"/>
      <c r="B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row>
    <row r="338" spans="1:112" x14ac:dyDescent="0.25">
      <c r="A338" s="195"/>
      <c r="B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row>
    <row r="339" spans="1:112" x14ac:dyDescent="0.25">
      <c r="A339" s="195"/>
      <c r="B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row>
    <row r="340" spans="1:112" x14ac:dyDescent="0.25">
      <c r="A340" s="195"/>
      <c r="B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row>
    <row r="341" spans="1:112" x14ac:dyDescent="0.25">
      <c r="A341" s="195"/>
      <c r="B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row>
    <row r="342" spans="1:112" x14ac:dyDescent="0.25">
      <c r="A342" s="195"/>
      <c r="B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row>
    <row r="343" spans="1:112" x14ac:dyDescent="0.25">
      <c r="A343" s="195"/>
      <c r="B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row>
    <row r="344" spans="1:112" x14ac:dyDescent="0.25">
      <c r="A344" s="195"/>
      <c r="B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row>
    <row r="345" spans="1:112" x14ac:dyDescent="0.25">
      <c r="A345" s="195"/>
      <c r="B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row>
    <row r="346" spans="1:112" x14ac:dyDescent="0.25">
      <c r="A346" s="195"/>
      <c r="B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row>
    <row r="347" spans="1:112" x14ac:dyDescent="0.25">
      <c r="A347" s="195"/>
      <c r="B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row>
    <row r="348" spans="1:112" x14ac:dyDescent="0.25">
      <c r="A348" s="195"/>
      <c r="B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row>
    <row r="349" spans="1:112" x14ac:dyDescent="0.25">
      <c r="A349" s="195"/>
      <c r="B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row>
    <row r="350" spans="1:112" x14ac:dyDescent="0.25">
      <c r="A350" s="195"/>
      <c r="B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row>
    <row r="351" spans="1:112" x14ac:dyDescent="0.25">
      <c r="A351" s="195"/>
      <c r="B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row>
    <row r="352" spans="1:112" x14ac:dyDescent="0.25">
      <c r="A352" s="195"/>
      <c r="B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row>
    <row r="353" spans="1:112" x14ac:dyDescent="0.25">
      <c r="A353" s="195"/>
      <c r="B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row>
    <row r="354" spans="1:112" x14ac:dyDescent="0.25">
      <c r="A354" s="195"/>
      <c r="B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row>
    <row r="355" spans="1:112" x14ac:dyDescent="0.25">
      <c r="A355" s="195"/>
      <c r="B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row>
    <row r="356" spans="1:112" x14ac:dyDescent="0.25">
      <c r="A356" s="195"/>
      <c r="B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row>
    <row r="357" spans="1:112" x14ac:dyDescent="0.25">
      <c r="A357" s="195"/>
      <c r="B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row>
    <row r="358" spans="1:112" x14ac:dyDescent="0.25">
      <c r="A358" s="195"/>
      <c r="B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row>
    <row r="359" spans="1:112" x14ac:dyDescent="0.25">
      <c r="A359" s="195"/>
      <c r="B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row>
    <row r="360" spans="1:112" x14ac:dyDescent="0.25">
      <c r="A360" s="195"/>
      <c r="B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row>
    <row r="361" spans="1:112" x14ac:dyDescent="0.25">
      <c r="A361" s="195"/>
      <c r="B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row>
    <row r="362" spans="1:112" x14ac:dyDescent="0.25">
      <c r="A362" s="195"/>
      <c r="B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row>
    <row r="363" spans="1:112" x14ac:dyDescent="0.25">
      <c r="A363" s="195"/>
      <c r="B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row>
    <row r="364" spans="1:112" x14ac:dyDescent="0.25">
      <c r="A364" s="195"/>
      <c r="B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row>
    <row r="365" spans="1:112" x14ac:dyDescent="0.25">
      <c r="A365" s="195"/>
      <c r="B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row>
    <row r="366" spans="1:112" x14ac:dyDescent="0.25">
      <c r="A366" s="195"/>
      <c r="B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row>
    <row r="367" spans="1:112" x14ac:dyDescent="0.25">
      <c r="A367" s="195"/>
      <c r="B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row>
    <row r="368" spans="1:112" x14ac:dyDescent="0.25">
      <c r="A368" s="195"/>
      <c r="B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row>
    <row r="369" spans="1:112" x14ac:dyDescent="0.25">
      <c r="A369" s="195"/>
      <c r="B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row>
    <row r="370" spans="1:112" x14ac:dyDescent="0.25">
      <c r="A370" s="195"/>
      <c r="B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row>
    <row r="371" spans="1:112" x14ac:dyDescent="0.25">
      <c r="A371" s="195"/>
      <c r="B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row>
    <row r="372" spans="1:112" x14ac:dyDescent="0.25">
      <c r="A372" s="195"/>
      <c r="B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row>
    <row r="373" spans="1:112" x14ac:dyDescent="0.25">
      <c r="A373" s="195"/>
      <c r="B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row>
    <row r="374" spans="1:112" x14ac:dyDescent="0.25">
      <c r="A374" s="195"/>
      <c r="B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row>
    <row r="375" spans="1:112" x14ac:dyDescent="0.25">
      <c r="A375" s="195"/>
      <c r="B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row>
    <row r="376" spans="1:112" x14ac:dyDescent="0.25">
      <c r="A376" s="195"/>
      <c r="B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row>
    <row r="377" spans="1:112" x14ac:dyDescent="0.25">
      <c r="A377" s="195"/>
      <c r="B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row>
    <row r="378" spans="1:112" x14ac:dyDescent="0.25">
      <c r="A378" s="195"/>
      <c r="B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row>
    <row r="379" spans="1:112" x14ac:dyDescent="0.25">
      <c r="A379" s="195"/>
      <c r="B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row>
    <row r="380" spans="1:112" x14ac:dyDescent="0.25">
      <c r="A380" s="195"/>
      <c r="B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row>
    <row r="381" spans="1:112" x14ac:dyDescent="0.25">
      <c r="A381" s="195"/>
      <c r="B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row>
    <row r="382" spans="1:112" x14ac:dyDescent="0.25">
      <c r="A382" s="195"/>
      <c r="B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row>
    <row r="383" spans="1:112" x14ac:dyDescent="0.25">
      <c r="A383" s="195"/>
      <c r="B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row>
    <row r="384" spans="1:112" x14ac:dyDescent="0.25">
      <c r="A384" s="195"/>
      <c r="B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row>
    <row r="385" spans="1:112" x14ac:dyDescent="0.25">
      <c r="A385" s="195"/>
      <c r="B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row>
    <row r="386" spans="1:112" x14ac:dyDescent="0.25">
      <c r="A386" s="195"/>
      <c r="B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row>
    <row r="387" spans="1:112" x14ac:dyDescent="0.25">
      <c r="A387" s="195"/>
      <c r="B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row>
    <row r="388" spans="1:112" x14ac:dyDescent="0.25">
      <c r="A388" s="195"/>
      <c r="B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row>
    <row r="389" spans="1:112" x14ac:dyDescent="0.25">
      <c r="A389" s="195"/>
      <c r="B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row>
    <row r="390" spans="1:112" x14ac:dyDescent="0.25">
      <c r="A390" s="195"/>
      <c r="B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row>
    <row r="391" spans="1:112" x14ac:dyDescent="0.25">
      <c r="A391" s="195"/>
      <c r="B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row>
    <row r="392" spans="1:112" x14ac:dyDescent="0.25">
      <c r="A392" s="195"/>
      <c r="B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row>
    <row r="393" spans="1:112" x14ac:dyDescent="0.25">
      <c r="A393" s="195"/>
      <c r="B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row>
    <row r="394" spans="1:112" x14ac:dyDescent="0.25">
      <c r="A394" s="195"/>
      <c r="B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row>
    <row r="395" spans="1:112" x14ac:dyDescent="0.25">
      <c r="A395" s="195"/>
      <c r="B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row>
    <row r="396" spans="1:112" x14ac:dyDescent="0.25">
      <c r="A396" s="195"/>
      <c r="B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row>
    <row r="397" spans="1:112" x14ac:dyDescent="0.25">
      <c r="A397" s="195"/>
      <c r="B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row>
    <row r="398" spans="1:112" x14ac:dyDescent="0.25">
      <c r="A398" s="195"/>
      <c r="B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row>
    <row r="399" spans="1:112" x14ac:dyDescent="0.25">
      <c r="A399" s="195"/>
      <c r="B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row>
    <row r="400" spans="1:112" x14ac:dyDescent="0.25">
      <c r="A400" s="195"/>
      <c r="B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row>
    <row r="401" spans="1:112" x14ac:dyDescent="0.25">
      <c r="A401" s="195"/>
      <c r="B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row>
    <row r="402" spans="1:112" x14ac:dyDescent="0.25">
      <c r="A402" s="195"/>
      <c r="B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row>
    <row r="403" spans="1:112" x14ac:dyDescent="0.25">
      <c r="A403" s="195"/>
      <c r="B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row>
    <row r="404" spans="1:112" x14ac:dyDescent="0.25">
      <c r="A404" s="195"/>
      <c r="B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row>
    <row r="405" spans="1:112" x14ac:dyDescent="0.25">
      <c r="A405" s="195"/>
      <c r="B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row>
    <row r="406" spans="1:112" x14ac:dyDescent="0.25">
      <c r="A406" s="195"/>
      <c r="B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row>
    <row r="407" spans="1:112" x14ac:dyDescent="0.25">
      <c r="A407" s="195"/>
      <c r="B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row>
    <row r="408" spans="1:112" x14ac:dyDescent="0.25">
      <c r="A408" s="195"/>
      <c r="B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row>
    <row r="409" spans="1:112" x14ac:dyDescent="0.25">
      <c r="A409" s="195"/>
      <c r="B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row>
    <row r="410" spans="1:112" x14ac:dyDescent="0.25">
      <c r="A410" s="195"/>
      <c r="B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row>
    <row r="411" spans="1:112" x14ac:dyDescent="0.25">
      <c r="A411" s="195"/>
      <c r="B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row>
    <row r="412" spans="1:112" x14ac:dyDescent="0.25">
      <c r="A412" s="195"/>
      <c r="B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row>
    <row r="413" spans="1:112" x14ac:dyDescent="0.25">
      <c r="A413" s="195"/>
      <c r="B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row>
    <row r="414" spans="1:112" x14ac:dyDescent="0.25">
      <c r="A414" s="195"/>
      <c r="B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row>
    <row r="415" spans="1:112" x14ac:dyDescent="0.25">
      <c r="A415" s="195"/>
      <c r="B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row>
    <row r="416" spans="1:112" x14ac:dyDescent="0.25">
      <c r="A416" s="195"/>
      <c r="B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row>
    <row r="417" spans="1:112" x14ac:dyDescent="0.25">
      <c r="A417" s="195"/>
      <c r="B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row>
    <row r="418" spans="1:112" x14ac:dyDescent="0.25">
      <c r="A418" s="195"/>
      <c r="B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row>
    <row r="419" spans="1:112" x14ac:dyDescent="0.25">
      <c r="A419" s="195"/>
      <c r="B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row>
    <row r="420" spans="1:112" x14ac:dyDescent="0.25">
      <c r="A420" s="195"/>
      <c r="B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row>
    <row r="421" spans="1:112" x14ac:dyDescent="0.25">
      <c r="A421" s="195"/>
      <c r="B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row>
    <row r="422" spans="1:112" x14ac:dyDescent="0.25">
      <c r="A422" s="195"/>
      <c r="B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row>
    <row r="423" spans="1:112" x14ac:dyDescent="0.25">
      <c r="A423" s="195"/>
      <c r="B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row>
    <row r="424" spans="1:112" x14ac:dyDescent="0.25">
      <c r="A424" s="195"/>
      <c r="B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row>
    <row r="425" spans="1:112" x14ac:dyDescent="0.25">
      <c r="A425" s="195"/>
      <c r="B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row>
    <row r="426" spans="1:112" x14ac:dyDescent="0.25">
      <c r="A426" s="195"/>
      <c r="B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row>
    <row r="427" spans="1:112" x14ac:dyDescent="0.25">
      <c r="A427" s="195"/>
      <c r="B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row>
    <row r="428" spans="1:112" x14ac:dyDescent="0.25">
      <c r="A428" s="195"/>
      <c r="B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row>
    <row r="429" spans="1:112" x14ac:dyDescent="0.25">
      <c r="A429" s="195"/>
      <c r="B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row>
    <row r="430" spans="1:112" x14ac:dyDescent="0.25">
      <c r="A430" s="195"/>
      <c r="B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row>
    <row r="431" spans="1:112" x14ac:dyDescent="0.25">
      <c r="A431" s="195"/>
      <c r="B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row>
    <row r="432" spans="1:112" x14ac:dyDescent="0.25">
      <c r="A432" s="195"/>
      <c r="B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row>
    <row r="433" spans="1:112" x14ac:dyDescent="0.25">
      <c r="A433" s="195"/>
      <c r="B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row>
    <row r="434" spans="1:112" x14ac:dyDescent="0.25">
      <c r="A434" s="195"/>
      <c r="B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row>
    <row r="435" spans="1:112" x14ac:dyDescent="0.25">
      <c r="A435" s="195"/>
      <c r="B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row>
    <row r="436" spans="1:112" x14ac:dyDescent="0.25">
      <c r="A436" s="195"/>
      <c r="B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row>
    <row r="437" spans="1:112" x14ac:dyDescent="0.25">
      <c r="A437" s="195"/>
      <c r="B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row>
    <row r="438" spans="1:112" x14ac:dyDescent="0.25">
      <c r="A438" s="195"/>
      <c r="B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row>
    <row r="439" spans="1:112" x14ac:dyDescent="0.25">
      <c r="A439" s="195"/>
      <c r="B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row>
    <row r="440" spans="1:112" x14ac:dyDescent="0.25">
      <c r="A440" s="195"/>
      <c r="B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row>
    <row r="441" spans="1:112" x14ac:dyDescent="0.25">
      <c r="A441" s="195"/>
      <c r="B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row>
    <row r="442" spans="1:112" x14ac:dyDescent="0.25">
      <c r="A442" s="195"/>
      <c r="B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row>
    <row r="443" spans="1:112" x14ac:dyDescent="0.25">
      <c r="A443" s="195"/>
      <c r="B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row>
    <row r="444" spans="1:112" x14ac:dyDescent="0.25">
      <c r="A444" s="195"/>
      <c r="B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row>
    <row r="445" spans="1:112" x14ac:dyDescent="0.25">
      <c r="A445" s="195"/>
      <c r="B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row>
    <row r="446" spans="1:112" x14ac:dyDescent="0.25">
      <c r="A446" s="195"/>
      <c r="B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row>
    <row r="447" spans="1:112" x14ac:dyDescent="0.25">
      <c r="A447" s="195"/>
      <c r="B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row>
    <row r="448" spans="1:112" x14ac:dyDescent="0.25">
      <c r="A448" s="195"/>
      <c r="B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row>
    <row r="449" spans="1:112" x14ac:dyDescent="0.25">
      <c r="A449" s="195"/>
      <c r="B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row>
    <row r="450" spans="1:112" x14ac:dyDescent="0.25">
      <c r="A450" s="195"/>
      <c r="B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row>
    <row r="451" spans="1:112" x14ac:dyDescent="0.25">
      <c r="A451" s="195"/>
      <c r="B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row>
    <row r="452" spans="1:112" x14ac:dyDescent="0.25">
      <c r="A452" s="195"/>
      <c r="B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row>
    <row r="453" spans="1:112" x14ac:dyDescent="0.25">
      <c r="A453" s="195"/>
      <c r="B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row>
    <row r="454" spans="1:112" x14ac:dyDescent="0.25">
      <c r="A454" s="195"/>
      <c r="B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row>
    <row r="455" spans="1:112" x14ac:dyDescent="0.25">
      <c r="A455" s="195"/>
      <c r="B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row>
    <row r="456" spans="1:112" x14ac:dyDescent="0.25">
      <c r="A456" s="195"/>
      <c r="B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row>
    <row r="457" spans="1:112" x14ac:dyDescent="0.25">
      <c r="A457" s="195"/>
      <c r="B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row>
    <row r="458" spans="1:112" x14ac:dyDescent="0.25">
      <c r="A458" s="195"/>
      <c r="B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row>
    <row r="459" spans="1:112" x14ac:dyDescent="0.25">
      <c r="A459" s="195"/>
      <c r="B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row>
    <row r="460" spans="1:112" x14ac:dyDescent="0.25">
      <c r="A460" s="195"/>
      <c r="B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row>
    <row r="461" spans="1:112" x14ac:dyDescent="0.25">
      <c r="A461" s="195"/>
      <c r="B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row>
    <row r="462" spans="1:112" x14ac:dyDescent="0.25">
      <c r="A462" s="195"/>
      <c r="B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row>
    <row r="463" spans="1:112" x14ac:dyDescent="0.25">
      <c r="A463" s="195"/>
      <c r="B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row>
    <row r="464" spans="1:112" x14ac:dyDescent="0.25">
      <c r="A464" s="195"/>
      <c r="B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row>
    <row r="465" spans="1:112" x14ac:dyDescent="0.25">
      <c r="A465" s="195"/>
      <c r="B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row>
    <row r="466" spans="1:112" x14ac:dyDescent="0.25">
      <c r="A466" s="195"/>
      <c r="B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row>
    <row r="467" spans="1:112" x14ac:dyDescent="0.25">
      <c r="A467" s="195"/>
      <c r="B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row>
    <row r="468" spans="1:112" x14ac:dyDescent="0.25">
      <c r="A468" s="195"/>
      <c r="B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row>
    <row r="469" spans="1:112" x14ac:dyDescent="0.25">
      <c r="A469" s="195"/>
      <c r="B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row>
    <row r="470" spans="1:112" x14ac:dyDescent="0.25">
      <c r="A470" s="195"/>
      <c r="B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row>
    <row r="471" spans="1:112" x14ac:dyDescent="0.25">
      <c r="A471" s="195"/>
      <c r="B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row>
    <row r="472" spans="1:112" x14ac:dyDescent="0.25">
      <c r="A472" s="195"/>
      <c r="B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row>
    <row r="473" spans="1:112" x14ac:dyDescent="0.25">
      <c r="A473" s="195"/>
      <c r="B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row>
    <row r="474" spans="1:112" x14ac:dyDescent="0.25">
      <c r="A474" s="195"/>
      <c r="B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row>
    <row r="475" spans="1:112" x14ac:dyDescent="0.25">
      <c r="A475" s="195"/>
      <c r="B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row>
    <row r="476" spans="1:112" x14ac:dyDescent="0.25">
      <c r="A476" s="195"/>
      <c r="B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row>
    <row r="477" spans="1:112" x14ac:dyDescent="0.25">
      <c r="A477" s="195"/>
      <c r="B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row>
    <row r="478" spans="1:112" x14ac:dyDescent="0.25">
      <c r="A478" s="195"/>
      <c r="B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row>
    <row r="479" spans="1:112" x14ac:dyDescent="0.25">
      <c r="A479" s="195"/>
      <c r="B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row>
    <row r="480" spans="1:112" x14ac:dyDescent="0.25">
      <c r="A480" s="195"/>
      <c r="B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row>
    <row r="481" spans="1:112" x14ac:dyDescent="0.25">
      <c r="A481" s="195"/>
      <c r="B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row>
    <row r="482" spans="1:112" x14ac:dyDescent="0.25">
      <c r="A482" s="195"/>
      <c r="B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row>
    <row r="483" spans="1:112" x14ac:dyDescent="0.25">
      <c r="A483" s="195"/>
      <c r="B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row>
    <row r="484" spans="1:112" x14ac:dyDescent="0.25">
      <c r="A484" s="195"/>
      <c r="B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row>
    <row r="485" spans="1:112" x14ac:dyDescent="0.25">
      <c r="A485" s="195"/>
      <c r="B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row>
    <row r="486" spans="1:112" x14ac:dyDescent="0.25">
      <c r="A486" s="195"/>
      <c r="B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row>
    <row r="487" spans="1:112" x14ac:dyDescent="0.25">
      <c r="A487" s="195"/>
      <c r="B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row>
    <row r="488" spans="1:112" x14ac:dyDescent="0.25">
      <c r="A488" s="195"/>
      <c r="B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row>
    <row r="489" spans="1:112" x14ac:dyDescent="0.25">
      <c r="A489" s="195"/>
      <c r="B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row>
    <row r="490" spans="1:112" x14ac:dyDescent="0.25">
      <c r="A490" s="195"/>
      <c r="B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row>
    <row r="491" spans="1:112" x14ac:dyDescent="0.25">
      <c r="A491" s="195"/>
      <c r="B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row>
    <row r="492" spans="1:112" x14ac:dyDescent="0.25">
      <c r="A492" s="195"/>
      <c r="B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row>
    <row r="493" spans="1:112" x14ac:dyDescent="0.25">
      <c r="A493" s="195"/>
      <c r="B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row>
    <row r="494" spans="1:112" x14ac:dyDescent="0.25">
      <c r="A494" s="195"/>
      <c r="B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row>
    <row r="495" spans="1:112" x14ac:dyDescent="0.25">
      <c r="A495" s="195"/>
      <c r="B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row>
    <row r="496" spans="1:112" x14ac:dyDescent="0.25">
      <c r="A496" s="195"/>
      <c r="B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row>
    <row r="497" spans="1:112" x14ac:dyDescent="0.25">
      <c r="A497" s="195"/>
      <c r="B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row>
    <row r="498" spans="1:112" x14ac:dyDescent="0.25">
      <c r="A498" s="195"/>
      <c r="B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row>
    <row r="499" spans="1:112" x14ac:dyDescent="0.25">
      <c r="A499" s="195"/>
      <c r="B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row>
    <row r="500" spans="1:112" x14ac:dyDescent="0.25">
      <c r="A500" s="195"/>
      <c r="B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row>
    <row r="501" spans="1:112" x14ac:dyDescent="0.25">
      <c r="A501" s="195"/>
      <c r="B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row>
    <row r="502" spans="1:112" x14ac:dyDescent="0.25">
      <c r="A502" s="195"/>
      <c r="B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row>
    <row r="503" spans="1:112" x14ac:dyDescent="0.25">
      <c r="A503" s="195"/>
      <c r="B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row>
    <row r="504" spans="1:112" x14ac:dyDescent="0.25">
      <c r="A504" s="195"/>
      <c r="B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row>
    <row r="505" spans="1:112" x14ac:dyDescent="0.25">
      <c r="A505" s="195"/>
      <c r="B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row>
    <row r="506" spans="1:112" x14ac:dyDescent="0.25">
      <c r="A506" s="195"/>
      <c r="B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row>
    <row r="507" spans="1:112" x14ac:dyDescent="0.25">
      <c r="A507" s="195"/>
      <c r="B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row>
    <row r="508" spans="1:112" x14ac:dyDescent="0.25">
      <c r="A508" s="195"/>
      <c r="B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row>
    <row r="509" spans="1:112" x14ac:dyDescent="0.25">
      <c r="A509" s="195"/>
      <c r="B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row>
    <row r="510" spans="1:112" x14ac:dyDescent="0.25">
      <c r="A510" s="195"/>
      <c r="B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row>
    <row r="511" spans="1:112" x14ac:dyDescent="0.25">
      <c r="A511" s="195"/>
      <c r="B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row>
    <row r="512" spans="1:112" x14ac:dyDescent="0.25">
      <c r="A512" s="195"/>
      <c r="B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row>
    <row r="513" spans="1:112" x14ac:dyDescent="0.25">
      <c r="A513" s="195"/>
      <c r="B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row>
    <row r="514" spans="1:112" x14ac:dyDescent="0.25">
      <c r="A514" s="195"/>
      <c r="B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row>
    <row r="515" spans="1:112" x14ac:dyDescent="0.25">
      <c r="A515" s="195"/>
      <c r="B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row>
    <row r="516" spans="1:112" x14ac:dyDescent="0.25">
      <c r="A516" s="195"/>
      <c r="B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row>
    <row r="517" spans="1:112" x14ac:dyDescent="0.25">
      <c r="A517" s="195"/>
      <c r="B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row>
    <row r="518" spans="1:112" x14ac:dyDescent="0.25">
      <c r="A518" s="195"/>
      <c r="B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row>
    <row r="519" spans="1:112" x14ac:dyDescent="0.25">
      <c r="A519" s="195"/>
      <c r="B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row>
    <row r="520" spans="1:112" x14ac:dyDescent="0.25">
      <c r="A520" s="195"/>
      <c r="B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row>
    <row r="521" spans="1:112" x14ac:dyDescent="0.25">
      <c r="A521" s="195"/>
      <c r="B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row>
    <row r="522" spans="1:112" x14ac:dyDescent="0.25">
      <c r="A522" s="195"/>
      <c r="B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row>
    <row r="523" spans="1:112" x14ac:dyDescent="0.25">
      <c r="A523" s="195"/>
      <c r="B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row>
    <row r="524" spans="1:112" x14ac:dyDescent="0.25">
      <c r="A524" s="195"/>
      <c r="B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row>
    <row r="525" spans="1:112" x14ac:dyDescent="0.25">
      <c r="A525" s="195"/>
      <c r="B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row>
    <row r="526" spans="1:112" x14ac:dyDescent="0.25">
      <c r="A526" s="195"/>
      <c r="B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row>
    <row r="527" spans="1:112" x14ac:dyDescent="0.25">
      <c r="A527" s="195"/>
      <c r="B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row>
    <row r="528" spans="1:112" x14ac:dyDescent="0.25">
      <c r="A528" s="195"/>
      <c r="B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row>
    <row r="529" spans="1:112" x14ac:dyDescent="0.25">
      <c r="A529" s="195"/>
      <c r="B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row>
    <row r="530" spans="1:112" x14ac:dyDescent="0.25">
      <c r="A530" s="195"/>
      <c r="B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row>
    <row r="531" spans="1:112" x14ac:dyDescent="0.25">
      <c r="A531" s="195"/>
      <c r="B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row>
    <row r="532" spans="1:112" x14ac:dyDescent="0.25">
      <c r="A532" s="195"/>
      <c r="B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row>
    <row r="533" spans="1:112" x14ac:dyDescent="0.25">
      <c r="A533" s="195"/>
      <c r="B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row>
    <row r="534" spans="1:112" x14ac:dyDescent="0.25">
      <c r="A534" s="195"/>
      <c r="B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row>
    <row r="535" spans="1:112" x14ac:dyDescent="0.25">
      <c r="A535" s="195"/>
      <c r="B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row>
    <row r="536" spans="1:112" x14ac:dyDescent="0.25">
      <c r="A536" s="195"/>
      <c r="B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row>
    <row r="537" spans="1:112" x14ac:dyDescent="0.25">
      <c r="A537" s="195"/>
      <c r="B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row>
    <row r="538" spans="1:112" x14ac:dyDescent="0.25">
      <c r="A538" s="195"/>
      <c r="B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row>
    <row r="539" spans="1:112" x14ac:dyDescent="0.25">
      <c r="A539" s="195"/>
      <c r="B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row>
    <row r="540" spans="1:112" x14ac:dyDescent="0.25">
      <c r="A540" s="195"/>
      <c r="B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row>
    <row r="541" spans="1:112" x14ac:dyDescent="0.25">
      <c r="A541" s="195"/>
      <c r="B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row>
    <row r="542" spans="1:112" x14ac:dyDescent="0.25">
      <c r="A542" s="195"/>
      <c r="B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row>
    <row r="543" spans="1:112" x14ac:dyDescent="0.25">
      <c r="A543" s="195"/>
      <c r="B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row>
    <row r="544" spans="1:112" x14ac:dyDescent="0.25">
      <c r="A544" s="195"/>
      <c r="B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row>
    <row r="545" spans="1:112" x14ac:dyDescent="0.25">
      <c r="A545" s="195"/>
      <c r="B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row>
    <row r="546" spans="1:112" x14ac:dyDescent="0.25">
      <c r="A546" s="195"/>
      <c r="B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row>
    <row r="547" spans="1:112" x14ac:dyDescent="0.25">
      <c r="A547" s="195"/>
      <c r="B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row>
    <row r="548" spans="1:112" x14ac:dyDescent="0.25">
      <c r="A548" s="195"/>
      <c r="B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row>
    <row r="549" spans="1:112" x14ac:dyDescent="0.25">
      <c r="A549" s="195"/>
      <c r="B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row>
    <row r="550" spans="1:112" x14ac:dyDescent="0.25">
      <c r="A550" s="195"/>
      <c r="B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row>
    <row r="551" spans="1:112" x14ac:dyDescent="0.25">
      <c r="A551" s="195"/>
      <c r="B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row>
    <row r="552" spans="1:112" x14ac:dyDescent="0.25">
      <c r="A552" s="195"/>
      <c r="B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row>
    <row r="553" spans="1:112" x14ac:dyDescent="0.25">
      <c r="A553" s="195"/>
      <c r="B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row>
    <row r="554" spans="1:112" x14ac:dyDescent="0.25">
      <c r="A554" s="195"/>
      <c r="B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row>
    <row r="555" spans="1:112" x14ac:dyDescent="0.25">
      <c r="A555" s="195"/>
      <c r="B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row>
    <row r="556" spans="1:112" x14ac:dyDescent="0.25">
      <c r="A556" s="195"/>
      <c r="B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row>
    <row r="557" spans="1:112" x14ac:dyDescent="0.25">
      <c r="A557" s="195"/>
      <c r="B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row>
    <row r="558" spans="1:112" x14ac:dyDescent="0.25">
      <c r="A558" s="195"/>
      <c r="B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row>
    <row r="559" spans="1:112" x14ac:dyDescent="0.25">
      <c r="A559" s="195"/>
      <c r="B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row>
    <row r="560" spans="1:112" x14ac:dyDescent="0.25">
      <c r="A560" s="195"/>
      <c r="B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row>
    <row r="561" spans="1:112" x14ac:dyDescent="0.25">
      <c r="A561" s="195"/>
      <c r="B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row>
    <row r="562" spans="1:112" x14ac:dyDescent="0.25">
      <c r="A562" s="195"/>
      <c r="B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row>
    <row r="563" spans="1:112" x14ac:dyDescent="0.25">
      <c r="A563" s="195"/>
      <c r="B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row>
    <row r="564" spans="1:112" x14ac:dyDescent="0.25">
      <c r="A564" s="195"/>
      <c r="B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row>
    <row r="565" spans="1:112" x14ac:dyDescent="0.25">
      <c r="A565" s="195"/>
      <c r="B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row>
    <row r="566" spans="1:112" x14ac:dyDescent="0.25">
      <c r="A566" s="195"/>
      <c r="B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row>
    <row r="567" spans="1:112" x14ac:dyDescent="0.25">
      <c r="A567" s="195"/>
      <c r="B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row>
    <row r="568" spans="1:112" x14ac:dyDescent="0.25">
      <c r="A568" s="195"/>
      <c r="B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row>
    <row r="569" spans="1:112" x14ac:dyDescent="0.25">
      <c r="A569" s="195"/>
      <c r="B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row>
    <row r="570" spans="1:112" x14ac:dyDescent="0.25">
      <c r="A570" s="195"/>
      <c r="B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row>
    <row r="571" spans="1:112" x14ac:dyDescent="0.25">
      <c r="A571" s="195"/>
      <c r="B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row>
    <row r="572" spans="1:112" x14ac:dyDescent="0.25">
      <c r="A572" s="195"/>
      <c r="B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row>
    <row r="573" spans="1:112" x14ac:dyDescent="0.25">
      <c r="A573" s="195"/>
      <c r="B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row>
    <row r="574" spans="1:112" x14ac:dyDescent="0.25">
      <c r="A574" s="195"/>
      <c r="B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row>
    <row r="575" spans="1:112" x14ac:dyDescent="0.25">
      <c r="A575" s="195"/>
      <c r="B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row>
    <row r="576" spans="1:112" x14ac:dyDescent="0.25">
      <c r="A576" s="195"/>
      <c r="B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row>
    <row r="577" spans="1:112" x14ac:dyDescent="0.25">
      <c r="A577" s="195"/>
      <c r="B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row>
    <row r="578" spans="1:112" x14ac:dyDescent="0.25">
      <c r="A578" s="195"/>
      <c r="B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row>
    <row r="579" spans="1:112" x14ac:dyDescent="0.25">
      <c r="A579" s="195"/>
      <c r="B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row>
    <row r="580" spans="1:112" x14ac:dyDescent="0.25">
      <c r="A580" s="195"/>
      <c r="B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row>
    <row r="581" spans="1:112" x14ac:dyDescent="0.25">
      <c r="A581" s="195"/>
      <c r="B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row>
    <row r="582" spans="1:112" x14ac:dyDescent="0.25">
      <c r="A582" s="195"/>
      <c r="B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row>
    <row r="583" spans="1:112" x14ac:dyDescent="0.25">
      <c r="A583" s="195"/>
      <c r="B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row>
    <row r="584" spans="1:112" x14ac:dyDescent="0.25">
      <c r="A584" s="195"/>
      <c r="B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row>
    <row r="585" spans="1:112" x14ac:dyDescent="0.25">
      <c r="A585" s="195"/>
      <c r="B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row>
    <row r="586" spans="1:112" x14ac:dyDescent="0.25">
      <c r="A586" s="195"/>
      <c r="B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row>
    <row r="587" spans="1:112" x14ac:dyDescent="0.25">
      <c r="A587" s="195"/>
      <c r="B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row>
    <row r="588" spans="1:112" x14ac:dyDescent="0.25">
      <c r="A588" s="195"/>
      <c r="B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row>
    <row r="589" spans="1:112" x14ac:dyDescent="0.25">
      <c r="A589" s="195"/>
      <c r="B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row>
    <row r="590" spans="1:112" x14ac:dyDescent="0.25">
      <c r="A590" s="195"/>
      <c r="B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row>
    <row r="591" spans="1:112" x14ac:dyDescent="0.25">
      <c r="A591" s="195"/>
      <c r="B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row>
    <row r="592" spans="1:112" x14ac:dyDescent="0.25">
      <c r="A592" s="195"/>
      <c r="B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row>
    <row r="593" spans="1:112" x14ac:dyDescent="0.25">
      <c r="A593" s="195"/>
      <c r="B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row>
    <row r="594" spans="1:112" x14ac:dyDescent="0.25">
      <c r="A594" s="195"/>
      <c r="B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row>
    <row r="595" spans="1:112" x14ac:dyDescent="0.25">
      <c r="A595" s="195"/>
      <c r="B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row>
    <row r="596" spans="1:112" x14ac:dyDescent="0.25">
      <c r="A596" s="195"/>
      <c r="B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row>
    <row r="597" spans="1:112" x14ac:dyDescent="0.25">
      <c r="A597" s="195"/>
      <c r="B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row>
    <row r="598" spans="1:112" x14ac:dyDescent="0.25">
      <c r="A598" s="195"/>
      <c r="B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row>
    <row r="599" spans="1:112" x14ac:dyDescent="0.25">
      <c r="A599" s="195"/>
      <c r="B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row>
    <row r="600" spans="1:112" x14ac:dyDescent="0.25">
      <c r="A600" s="195"/>
      <c r="B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row>
    <row r="601" spans="1:112" x14ac:dyDescent="0.25">
      <c r="A601" s="195"/>
      <c r="B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row>
    <row r="602" spans="1:112" x14ac:dyDescent="0.25">
      <c r="A602" s="195"/>
      <c r="B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row>
    <row r="603" spans="1:112" x14ac:dyDescent="0.25">
      <c r="A603" s="195"/>
      <c r="B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row>
    <row r="604" spans="1:112" x14ac:dyDescent="0.25">
      <c r="A604" s="195"/>
      <c r="B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row>
    <row r="605" spans="1:112" x14ac:dyDescent="0.25">
      <c r="A605" s="195"/>
      <c r="B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row>
    <row r="606" spans="1:112" x14ac:dyDescent="0.25">
      <c r="A606" s="195"/>
      <c r="B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row>
    <row r="607" spans="1:112" x14ac:dyDescent="0.25">
      <c r="A607" s="195"/>
      <c r="B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row>
    <row r="608" spans="1:112" x14ac:dyDescent="0.25">
      <c r="A608" s="195"/>
      <c r="B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row>
    <row r="609" spans="1:112" x14ac:dyDescent="0.25">
      <c r="A609" s="195"/>
      <c r="B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row>
    <row r="610" spans="1:112" x14ac:dyDescent="0.25">
      <c r="A610" s="195"/>
      <c r="B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row>
    <row r="611" spans="1:112" x14ac:dyDescent="0.25">
      <c r="A611" s="195"/>
      <c r="B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row>
    <row r="612" spans="1:112" x14ac:dyDescent="0.25">
      <c r="A612" s="195"/>
      <c r="B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row>
    <row r="613" spans="1:112" x14ac:dyDescent="0.25">
      <c r="A613" s="195"/>
      <c r="B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row>
    <row r="614" spans="1:112" x14ac:dyDescent="0.25">
      <c r="A614" s="195"/>
      <c r="B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row>
    <row r="615" spans="1:112" x14ac:dyDescent="0.25">
      <c r="A615" s="195"/>
      <c r="B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row>
    <row r="616" spans="1:112" x14ac:dyDescent="0.25">
      <c r="A616" s="195"/>
      <c r="B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row>
    <row r="617" spans="1:112" x14ac:dyDescent="0.25">
      <c r="A617" s="195"/>
      <c r="B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row>
    <row r="618" spans="1:112" x14ac:dyDescent="0.25">
      <c r="A618" s="195"/>
      <c r="B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row>
    <row r="619" spans="1:112" x14ac:dyDescent="0.25">
      <c r="A619" s="195"/>
      <c r="B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row>
    <row r="620" spans="1:112" x14ac:dyDescent="0.25">
      <c r="A620" s="195"/>
      <c r="B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row>
    <row r="621" spans="1:112" x14ac:dyDescent="0.25">
      <c r="A621" s="195"/>
      <c r="B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row>
    <row r="622" spans="1:112" x14ac:dyDescent="0.25">
      <c r="A622" s="195"/>
      <c r="B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row>
    <row r="623" spans="1:112" x14ac:dyDescent="0.25">
      <c r="A623" s="195"/>
      <c r="B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row>
    <row r="624" spans="1:112" x14ac:dyDescent="0.25">
      <c r="A624" s="195"/>
      <c r="B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row>
    <row r="625" spans="1:112" x14ac:dyDescent="0.25">
      <c r="A625" s="195"/>
      <c r="B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row>
    <row r="626" spans="1:112" x14ac:dyDescent="0.25">
      <c r="A626" s="195"/>
      <c r="B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row>
    <row r="627" spans="1:112" x14ac:dyDescent="0.25">
      <c r="A627" s="195"/>
      <c r="B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row>
    <row r="628" spans="1:112" x14ac:dyDescent="0.25">
      <c r="A628" s="195"/>
      <c r="B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row>
    <row r="629" spans="1:112" x14ac:dyDescent="0.25">
      <c r="A629" s="195"/>
      <c r="B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row>
    <row r="630" spans="1:112" x14ac:dyDescent="0.25">
      <c r="A630" s="195"/>
      <c r="B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row>
    <row r="631" spans="1:112" x14ac:dyDescent="0.25">
      <c r="A631" s="195"/>
      <c r="B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row>
    <row r="632" spans="1:112" x14ac:dyDescent="0.25">
      <c r="A632" s="195"/>
      <c r="B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row>
    <row r="633" spans="1:112" x14ac:dyDescent="0.25">
      <c r="A633" s="195"/>
      <c r="B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row>
    <row r="634" spans="1:112" x14ac:dyDescent="0.25">
      <c r="A634" s="195"/>
      <c r="B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row>
    <row r="635" spans="1:112" x14ac:dyDescent="0.25">
      <c r="A635" s="195"/>
      <c r="B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row>
    <row r="636" spans="1:112" x14ac:dyDescent="0.25">
      <c r="A636" s="195"/>
      <c r="B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row>
    <row r="637" spans="1:112" x14ac:dyDescent="0.25">
      <c r="A637" s="195"/>
      <c r="B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row>
    <row r="638" spans="1:112" x14ac:dyDescent="0.25">
      <c r="A638" s="195"/>
      <c r="B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row>
    <row r="639" spans="1:112" x14ac:dyDescent="0.25">
      <c r="A639" s="195"/>
      <c r="B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row>
    <row r="640" spans="1:112" x14ac:dyDescent="0.25">
      <c r="A640" s="195"/>
      <c r="B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row>
    <row r="641" spans="1:112" x14ac:dyDescent="0.25">
      <c r="A641" s="195"/>
      <c r="B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row>
    <row r="642" spans="1:112" x14ac:dyDescent="0.25">
      <c r="A642" s="195"/>
      <c r="B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row>
    <row r="643" spans="1:112" x14ac:dyDescent="0.25">
      <c r="A643" s="195"/>
      <c r="B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row>
    <row r="644" spans="1:112" x14ac:dyDescent="0.25">
      <c r="A644" s="195"/>
      <c r="B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row>
    <row r="645" spans="1:112" x14ac:dyDescent="0.25">
      <c r="A645" s="195"/>
      <c r="B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row>
    <row r="646" spans="1:112" x14ac:dyDescent="0.25">
      <c r="A646" s="195"/>
      <c r="B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row>
    <row r="647" spans="1:112" x14ac:dyDescent="0.25">
      <c r="A647" s="195"/>
      <c r="B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row>
    <row r="648" spans="1:112" x14ac:dyDescent="0.25">
      <c r="A648" s="195"/>
      <c r="B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row>
    <row r="649" spans="1:112" x14ac:dyDescent="0.25">
      <c r="A649" s="195"/>
      <c r="B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row>
    <row r="650" spans="1:112" x14ac:dyDescent="0.25">
      <c r="A650" s="195"/>
      <c r="B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row>
    <row r="651" spans="1:112" x14ac:dyDescent="0.25">
      <c r="A651" s="195"/>
      <c r="B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row>
    <row r="652" spans="1:112" x14ac:dyDescent="0.25">
      <c r="A652" s="195"/>
      <c r="B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row>
    <row r="653" spans="1:112" x14ac:dyDescent="0.25">
      <c r="A653" s="195"/>
      <c r="B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row>
    <row r="654" spans="1:112" x14ac:dyDescent="0.25">
      <c r="A654" s="195"/>
      <c r="B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row>
    <row r="655" spans="1:112" x14ac:dyDescent="0.25">
      <c r="A655" s="195"/>
      <c r="B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row>
    <row r="656" spans="1:112" x14ac:dyDescent="0.25">
      <c r="A656" s="195"/>
      <c r="B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row>
    <row r="657" spans="1:112" x14ac:dyDescent="0.25">
      <c r="A657" s="195"/>
      <c r="B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row>
    <row r="658" spans="1:112" x14ac:dyDescent="0.25">
      <c r="A658" s="195"/>
      <c r="B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row>
    <row r="659" spans="1:112" x14ac:dyDescent="0.25">
      <c r="A659" s="195"/>
      <c r="B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row>
    <row r="660" spans="1:112" x14ac:dyDescent="0.25">
      <c r="A660" s="195"/>
      <c r="B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row>
    <row r="661" spans="1:112" x14ac:dyDescent="0.25">
      <c r="A661" s="195"/>
      <c r="B661" s="195"/>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row>
    <row r="662" spans="1:112" x14ac:dyDescent="0.25">
      <c r="A662" s="195"/>
      <c r="B662" s="195"/>
      <c r="N662" s="195"/>
      <c r="O662" s="195"/>
      <c r="P662" s="195"/>
      <c r="Q662" s="195"/>
      <c r="R662" s="195"/>
      <c r="S662" s="195"/>
      <c r="T662" s="195"/>
      <c r="U662" s="195"/>
      <c r="V662" s="195"/>
      <c r="W662" s="195"/>
      <c r="X662" s="195"/>
      <c r="Y662" s="195"/>
      <c r="Z662" s="195"/>
      <c r="AA662" s="195"/>
      <c r="AB662" s="195"/>
      <c r="AC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row>
    <row r="663" spans="1:112" x14ac:dyDescent="0.25">
      <c r="A663" s="195"/>
      <c r="B663" s="195"/>
      <c r="N663" s="195"/>
      <c r="O663" s="195"/>
      <c r="P663" s="195"/>
      <c r="Q663" s="195"/>
      <c r="R663" s="195"/>
      <c r="S663" s="195"/>
      <c r="T663" s="195"/>
      <c r="U663" s="195"/>
      <c r="V663" s="195"/>
      <c r="W663" s="195"/>
      <c r="X663" s="195"/>
      <c r="Y663" s="195"/>
      <c r="Z663" s="195"/>
      <c r="AA663" s="195"/>
      <c r="AB663" s="195"/>
      <c r="AC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row>
    <row r="664" spans="1:112" x14ac:dyDescent="0.25">
      <c r="A664" s="195"/>
      <c r="B664" s="195"/>
      <c r="N664" s="195"/>
      <c r="O664" s="195"/>
      <c r="P664" s="195"/>
      <c r="Q664" s="195"/>
      <c r="R664" s="195"/>
      <c r="S664" s="195"/>
      <c r="T664" s="195"/>
      <c r="U664" s="195"/>
      <c r="V664" s="195"/>
      <c r="W664" s="195"/>
      <c r="X664" s="195"/>
      <c r="Y664" s="195"/>
      <c r="Z664" s="195"/>
      <c r="AA664" s="195"/>
      <c r="AB664" s="195"/>
      <c r="AC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row>
    <row r="665" spans="1:112" x14ac:dyDescent="0.25">
      <c r="A665" s="195"/>
      <c r="B665" s="195"/>
      <c r="N665" s="195"/>
      <c r="O665" s="195"/>
      <c r="P665" s="195"/>
      <c r="Q665" s="195"/>
      <c r="R665" s="195"/>
      <c r="S665" s="195"/>
      <c r="T665" s="195"/>
      <c r="U665" s="195"/>
      <c r="V665" s="195"/>
      <c r="W665" s="195"/>
      <c r="X665" s="195"/>
      <c r="Y665" s="195"/>
      <c r="Z665" s="195"/>
      <c r="AA665" s="195"/>
      <c r="AB665" s="195"/>
      <c r="AC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row>
    <row r="666" spans="1:112" x14ac:dyDescent="0.25">
      <c r="A666" s="195"/>
      <c r="B666" s="195"/>
      <c r="N666" s="195"/>
      <c r="O666" s="195"/>
      <c r="P666" s="195"/>
      <c r="Q666" s="195"/>
      <c r="R666" s="195"/>
      <c r="S666" s="195"/>
      <c r="T666" s="195"/>
      <c r="U666" s="195"/>
      <c r="V666" s="195"/>
      <c r="W666" s="195"/>
      <c r="X666" s="195"/>
      <c r="Y666" s="195"/>
      <c r="Z666" s="195"/>
      <c r="AA666" s="195"/>
      <c r="AB666" s="195"/>
      <c r="AC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row>
    <row r="667" spans="1:112" x14ac:dyDescent="0.25">
      <c r="A667" s="195"/>
      <c r="B667" s="195"/>
      <c r="N667" s="195"/>
      <c r="O667" s="195"/>
      <c r="P667" s="195"/>
      <c r="Q667" s="195"/>
      <c r="R667" s="195"/>
      <c r="S667" s="195"/>
      <c r="T667" s="195"/>
      <c r="U667" s="195"/>
      <c r="V667" s="195"/>
      <c r="W667" s="195"/>
      <c r="X667" s="195"/>
      <c r="Y667" s="195"/>
      <c r="Z667" s="195"/>
      <c r="AA667" s="195"/>
      <c r="AB667" s="195"/>
      <c r="AC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row>
    <row r="668" spans="1:112" x14ac:dyDescent="0.25">
      <c r="A668" s="195"/>
      <c r="B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row>
    <row r="669" spans="1:112" x14ac:dyDescent="0.25">
      <c r="A669" s="195"/>
      <c r="B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row>
    <row r="670" spans="1:112" x14ac:dyDescent="0.25">
      <c r="A670" s="195"/>
      <c r="B670" s="195"/>
      <c r="N670" s="195"/>
      <c r="O670" s="195"/>
      <c r="P670" s="195"/>
      <c r="Q670" s="195"/>
      <c r="R670" s="195"/>
      <c r="S670" s="195"/>
      <c r="T670" s="195"/>
      <c r="U670" s="195"/>
      <c r="V670" s="195"/>
      <c r="W670" s="195"/>
      <c r="X670" s="195"/>
      <c r="Y670" s="195"/>
      <c r="Z670" s="195"/>
      <c r="AA670" s="195"/>
      <c r="AB670" s="195"/>
      <c r="AC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row>
    <row r="671" spans="1:112" x14ac:dyDescent="0.25">
      <c r="A671" s="195"/>
      <c r="B671" s="195"/>
      <c r="N671" s="195"/>
      <c r="O671" s="195"/>
      <c r="P671" s="195"/>
      <c r="Q671" s="195"/>
      <c r="R671" s="195"/>
      <c r="S671" s="195"/>
      <c r="T671" s="195"/>
      <c r="U671" s="195"/>
      <c r="V671" s="195"/>
      <c r="W671" s="195"/>
      <c r="X671" s="195"/>
      <c r="Y671" s="195"/>
      <c r="Z671" s="195"/>
      <c r="AA671" s="195"/>
      <c r="AB671" s="195"/>
      <c r="AC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row>
    <row r="672" spans="1:112" x14ac:dyDescent="0.25">
      <c r="A672" s="195"/>
      <c r="B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row>
    <row r="673" spans="1:112" x14ac:dyDescent="0.25">
      <c r="A673" s="195"/>
      <c r="B673" s="195"/>
      <c r="N673" s="195"/>
      <c r="O673" s="195"/>
      <c r="P673" s="195"/>
      <c r="Q673" s="195"/>
      <c r="R673" s="195"/>
      <c r="S673" s="195"/>
      <c r="T673" s="195"/>
      <c r="U673" s="195"/>
      <c r="V673" s="195"/>
      <c r="W673" s="195"/>
      <c r="X673" s="195"/>
      <c r="Y673" s="195"/>
      <c r="Z673" s="195"/>
      <c r="AA673" s="195"/>
      <c r="AB673" s="195"/>
      <c r="AC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row>
    <row r="674" spans="1:112" x14ac:dyDescent="0.25">
      <c r="A674" s="195"/>
      <c r="B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row>
    <row r="675" spans="1:112" x14ac:dyDescent="0.25">
      <c r="A675" s="195"/>
      <c r="B675" s="195"/>
      <c r="N675" s="195"/>
      <c r="O675" s="195"/>
      <c r="P675" s="195"/>
      <c r="Q675" s="195"/>
      <c r="R675" s="195"/>
      <c r="S675" s="195"/>
      <c r="T675" s="195"/>
      <c r="U675" s="195"/>
      <c r="V675" s="195"/>
      <c r="W675" s="195"/>
      <c r="X675" s="195"/>
      <c r="Y675" s="195"/>
      <c r="Z675" s="195"/>
      <c r="AA675" s="195"/>
      <c r="AB675" s="195"/>
      <c r="AC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row>
    <row r="676" spans="1:112" x14ac:dyDescent="0.25">
      <c r="A676" s="195"/>
      <c r="B676" s="195"/>
      <c r="N676" s="195"/>
      <c r="O676" s="195"/>
      <c r="P676" s="195"/>
      <c r="Q676" s="195"/>
      <c r="R676" s="195"/>
      <c r="S676" s="195"/>
      <c r="T676" s="195"/>
      <c r="U676" s="195"/>
      <c r="V676" s="195"/>
      <c r="W676" s="195"/>
      <c r="X676" s="195"/>
      <c r="Y676" s="195"/>
      <c r="Z676" s="195"/>
      <c r="AA676" s="195"/>
      <c r="AB676" s="195"/>
      <c r="AC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row>
  </sheetData>
  <sheetProtection algorithmName="SHA-512" hashValue="nlUu5b2rk0JE7Sz31pqi56sb6ASgULRhQtTkzt5X0hmvfvjT4vtyqzLwbWZu6z9XRjHtiCxv8yf79/XNq8xCbw==" saltValue="e2ZOejUnPT5Zf73AtlpW5w==" spinCount="100000" sheet="1" objects="1" scenarios="1"/>
  <hyperlinks>
    <hyperlink ref="B15" r:id="rId1" display="https://www.education.govt.nz/school/funding-and-financials/resourcing/operational-funding/how-operational-funding-is-calculated-resourcing-rolls/" xr:uid="{6ABB6E69-B1E3-4266-B367-3F2019B37EF6}"/>
    <hyperlink ref="B17" r:id="rId2" display="https://www.charterschools.govt.nz/information-for-sponsors/" xr:uid="{C999D83D-C18B-4A11-8B05-2A04201B17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A623-A58E-4FB3-999D-AFE7EFEFA130}">
  <sheetPr codeName="Sheet8">
    <tabColor rgb="FFFFFF00"/>
  </sheetPr>
  <dimension ref="A1:L82"/>
  <sheetViews>
    <sheetView tabSelected="1" topLeftCell="B27" zoomScale="70" zoomScaleNormal="70" workbookViewId="0">
      <selection activeCell="H35" sqref="H35"/>
    </sheetView>
  </sheetViews>
  <sheetFormatPr defaultColWidth="9.140625" defaultRowHeight="15" x14ac:dyDescent="0.25"/>
  <cols>
    <col min="1" max="1" width="14.5703125" style="174" customWidth="1"/>
    <col min="2" max="2" width="12.5703125" style="174" customWidth="1"/>
    <col min="3" max="3" width="51.28515625" style="174" customWidth="1"/>
    <col min="4" max="4" width="36.42578125" style="174" customWidth="1"/>
    <col min="5" max="5" width="17.85546875" style="174" customWidth="1"/>
    <col min="6" max="6" width="33.28515625" style="174" customWidth="1"/>
    <col min="7" max="7" width="62.140625" style="174" customWidth="1"/>
    <col min="8" max="8" width="64" style="174" customWidth="1"/>
    <col min="9" max="9" width="43.5703125" style="174" customWidth="1"/>
    <col min="10" max="10" width="39.42578125" style="174" customWidth="1"/>
    <col min="11" max="11" width="255.140625" style="174" customWidth="1"/>
    <col min="12" max="12" width="255.5703125" style="174" customWidth="1"/>
    <col min="13" max="17" width="9.140625" style="174" customWidth="1"/>
    <col min="18" max="16384" width="9.140625" style="174"/>
  </cols>
  <sheetData>
    <row r="1" spans="1:12" x14ac:dyDescent="0.25">
      <c r="A1" s="120"/>
      <c r="B1" s="120"/>
      <c r="C1" s="120"/>
      <c r="D1" s="120"/>
      <c r="E1" s="121"/>
      <c r="F1" s="121"/>
      <c r="G1" s="121"/>
      <c r="H1" s="121"/>
      <c r="I1" s="121"/>
      <c r="J1" s="121"/>
      <c r="K1" s="121"/>
      <c r="L1" s="121"/>
    </row>
    <row r="2" spans="1:12" x14ac:dyDescent="0.25">
      <c r="A2" s="121"/>
      <c r="B2" s="121"/>
      <c r="C2" s="121"/>
      <c r="D2" s="121"/>
      <c r="E2" s="121"/>
      <c r="F2" s="121"/>
      <c r="G2" s="121"/>
      <c r="H2" s="121"/>
      <c r="I2" s="121"/>
      <c r="J2" s="121"/>
      <c r="K2" s="121"/>
      <c r="L2" s="121"/>
    </row>
    <row r="3" spans="1:12" x14ac:dyDescent="0.25">
      <c r="A3" s="121"/>
      <c r="B3" s="121"/>
      <c r="C3" s="121"/>
      <c r="D3" s="121"/>
      <c r="E3" s="121"/>
      <c r="F3" s="121"/>
      <c r="G3" s="121"/>
      <c r="H3" s="121"/>
      <c r="I3" s="121"/>
      <c r="J3" s="121"/>
      <c r="K3" s="121"/>
      <c r="L3" s="121"/>
    </row>
    <row r="4" spans="1:12" ht="36.75" thickBot="1" x14ac:dyDescent="0.6">
      <c r="A4" s="122"/>
      <c r="B4" s="121"/>
      <c r="C4" s="129" t="s">
        <v>62</v>
      </c>
      <c r="D4" s="130"/>
      <c r="E4" s="121"/>
      <c r="F4" s="121"/>
      <c r="G4" s="121"/>
      <c r="H4" s="121"/>
      <c r="I4" s="121"/>
      <c r="J4" s="121"/>
      <c r="K4" s="121"/>
      <c r="L4" s="121"/>
    </row>
    <row r="5" spans="1:12" ht="18" thickBot="1" x14ac:dyDescent="0.35">
      <c r="A5" s="122"/>
      <c r="B5" s="121"/>
      <c r="C5" s="140"/>
      <c r="D5" s="140"/>
      <c r="E5" s="121"/>
      <c r="F5" s="121"/>
      <c r="G5" s="121"/>
      <c r="H5" s="121"/>
      <c r="I5" s="121"/>
      <c r="J5" s="121"/>
      <c r="K5" s="121"/>
      <c r="L5" s="121"/>
    </row>
    <row r="6" spans="1:12" ht="15.75" thickBot="1" x14ac:dyDescent="0.3">
      <c r="A6" s="122"/>
      <c r="B6" s="121"/>
      <c r="C6" s="139" t="s">
        <v>289</v>
      </c>
      <c r="D6" s="181"/>
      <c r="E6" s="121"/>
      <c r="F6" s="121"/>
      <c r="G6" s="121"/>
      <c r="H6" s="121"/>
      <c r="I6" s="121"/>
      <c r="J6" s="122"/>
      <c r="K6" s="122"/>
      <c r="L6" s="121"/>
    </row>
    <row r="7" spans="1:12" ht="18" thickBot="1" x14ac:dyDescent="0.35">
      <c r="A7" s="137"/>
      <c r="B7" s="132"/>
      <c r="C7" s="121"/>
      <c r="D7" s="194" t="s">
        <v>247</v>
      </c>
      <c r="E7" s="135"/>
      <c r="F7" s="121"/>
      <c r="G7" s="121"/>
      <c r="H7" s="121"/>
      <c r="I7" s="121"/>
      <c r="J7" s="122"/>
      <c r="K7" s="122"/>
      <c r="L7" s="121"/>
    </row>
    <row r="8" spans="1:12" x14ac:dyDescent="0.25">
      <c r="A8" s="122"/>
      <c r="B8" s="132"/>
      <c r="C8" s="132"/>
      <c r="D8" s="141"/>
      <c r="E8" s="135"/>
      <c r="F8" s="121"/>
      <c r="G8" s="121"/>
      <c r="H8" s="121"/>
      <c r="I8" s="121"/>
      <c r="J8" s="121"/>
      <c r="K8" s="122"/>
      <c r="L8" s="121"/>
    </row>
    <row r="9" spans="1:12" ht="15.75" thickBot="1" x14ac:dyDescent="0.3">
      <c r="A9" s="135"/>
      <c r="B9" s="132"/>
      <c r="C9" s="132"/>
      <c r="D9" s="141"/>
      <c r="E9" s="135"/>
      <c r="F9" s="121"/>
      <c r="G9" s="121"/>
      <c r="H9" s="121"/>
      <c r="I9" s="121"/>
      <c r="J9" s="121"/>
      <c r="K9" s="122"/>
      <c r="L9" s="121"/>
    </row>
    <row r="10" spans="1:12" ht="15.75" thickBot="1" x14ac:dyDescent="0.3">
      <c r="A10" s="135"/>
      <c r="B10" s="132"/>
      <c r="C10" s="132"/>
      <c r="D10" s="167"/>
      <c r="E10" s="135"/>
      <c r="F10" s="121"/>
      <c r="G10" s="121"/>
      <c r="H10" s="121"/>
      <c r="I10" s="121"/>
      <c r="J10" s="121"/>
      <c r="K10" s="122"/>
      <c r="L10" s="121"/>
    </row>
    <row r="11" spans="1:12" ht="15.75" thickBot="1" x14ac:dyDescent="0.3">
      <c r="A11" s="122"/>
      <c r="B11" s="132"/>
      <c r="C11" s="131" t="s">
        <v>16</v>
      </c>
      <c r="D11" s="177" t="s">
        <v>19</v>
      </c>
      <c r="E11" s="134"/>
      <c r="F11" s="121"/>
      <c r="G11" s="121"/>
      <c r="H11" s="121"/>
      <c r="I11" s="121"/>
      <c r="J11" s="121"/>
      <c r="K11" s="122"/>
      <c r="L11" s="121"/>
    </row>
    <row r="12" spans="1:12" ht="15.75" thickBot="1" x14ac:dyDescent="0.3">
      <c r="A12" s="135"/>
      <c r="B12" s="132"/>
      <c r="C12" s="132"/>
      <c r="D12" s="168"/>
      <c r="E12" s="132"/>
      <c r="F12" s="121"/>
      <c r="G12" s="121"/>
      <c r="H12" s="121"/>
      <c r="I12" s="121"/>
      <c r="J12" s="121"/>
      <c r="K12" s="122"/>
      <c r="L12" s="121"/>
    </row>
    <row r="13" spans="1:12" ht="15.75" thickBot="1" x14ac:dyDescent="0.3">
      <c r="A13" s="135"/>
      <c r="B13" s="132"/>
      <c r="C13" s="131" t="s">
        <v>189</v>
      </c>
      <c r="D13" s="177" t="b">
        <v>0</v>
      </c>
      <c r="E13" s="132"/>
      <c r="F13" s="121"/>
      <c r="G13" s="121"/>
      <c r="H13" s="121"/>
      <c r="I13" s="121"/>
      <c r="J13" s="122"/>
      <c r="K13" s="122"/>
      <c r="L13" s="121"/>
    </row>
    <row r="14" spans="1:12" ht="15.75" thickBot="1" x14ac:dyDescent="0.3">
      <c r="A14" s="122"/>
      <c r="B14" s="132"/>
      <c r="C14" s="133"/>
      <c r="D14" s="169"/>
      <c r="E14" s="132"/>
      <c r="F14" s="121"/>
      <c r="G14" s="121"/>
      <c r="H14" s="121"/>
      <c r="I14" s="121"/>
      <c r="J14" s="122"/>
      <c r="K14" s="122"/>
      <c r="L14" s="121"/>
    </row>
    <row r="15" spans="1:12" ht="15.75" thickBot="1" x14ac:dyDescent="0.3">
      <c r="A15" s="135"/>
      <c r="B15" s="132"/>
      <c r="C15" s="131" t="s">
        <v>18</v>
      </c>
      <c r="D15" s="177" t="s">
        <v>20</v>
      </c>
      <c r="E15" s="132"/>
      <c r="F15" s="121"/>
      <c r="G15" s="121"/>
      <c r="H15" s="121"/>
      <c r="I15" s="121"/>
      <c r="J15" s="121"/>
      <c r="K15" s="122"/>
      <c r="L15" s="121"/>
    </row>
    <row r="16" spans="1:12" ht="15.75" thickBot="1" x14ac:dyDescent="0.3">
      <c r="A16" s="135"/>
      <c r="B16" s="132"/>
      <c r="C16" s="133"/>
      <c r="D16" s="168"/>
      <c r="E16" s="132"/>
      <c r="F16" s="121"/>
      <c r="G16" s="121"/>
      <c r="H16" s="121"/>
      <c r="I16" s="121"/>
      <c r="J16" s="121"/>
      <c r="K16" s="122"/>
      <c r="L16" s="121"/>
    </row>
    <row r="17" spans="1:12" ht="15.75" thickBot="1" x14ac:dyDescent="0.3">
      <c r="A17" s="122"/>
      <c r="B17" s="132"/>
      <c r="C17" s="131" t="s">
        <v>25</v>
      </c>
      <c r="D17" s="177" t="s">
        <v>26</v>
      </c>
      <c r="E17" s="132"/>
      <c r="F17" s="121"/>
      <c r="G17" s="121"/>
      <c r="H17" s="121"/>
      <c r="I17" s="121"/>
      <c r="J17" s="121"/>
      <c r="K17" s="122"/>
      <c r="L17" s="121"/>
    </row>
    <row r="18" spans="1:12" ht="15.75" thickBot="1" x14ac:dyDescent="0.3">
      <c r="A18" s="135"/>
      <c r="B18" s="132"/>
      <c r="C18" s="132"/>
      <c r="D18" s="168"/>
      <c r="E18" s="132"/>
      <c r="F18" s="121"/>
      <c r="G18" s="121"/>
      <c r="H18" s="121"/>
      <c r="I18" s="121"/>
      <c r="J18" s="121"/>
      <c r="K18" s="122"/>
      <c r="L18" s="121"/>
    </row>
    <row r="19" spans="1:12" ht="15.75" thickBot="1" x14ac:dyDescent="0.3">
      <c r="A19" s="132"/>
      <c r="B19" s="132"/>
      <c r="C19" s="131" t="s">
        <v>28</v>
      </c>
      <c r="D19" s="178">
        <v>486</v>
      </c>
      <c r="E19" s="134"/>
      <c r="F19" s="121"/>
      <c r="G19" s="121"/>
      <c r="H19" s="121"/>
      <c r="I19" s="121"/>
      <c r="J19" s="121"/>
      <c r="K19" s="122"/>
      <c r="L19" s="121"/>
    </row>
    <row r="20" spans="1:12" ht="15.75" thickBot="1" x14ac:dyDescent="0.3">
      <c r="A20" s="132"/>
      <c r="B20" s="132"/>
      <c r="C20" s="132"/>
      <c r="D20" s="168"/>
      <c r="E20" s="132"/>
      <c r="F20" s="121"/>
      <c r="G20" s="121"/>
      <c r="H20" s="121"/>
      <c r="I20" s="121"/>
      <c r="J20" s="121"/>
      <c r="K20" s="122"/>
      <c r="L20" s="121"/>
    </row>
    <row r="21" spans="1:12" ht="15.75" thickBot="1" x14ac:dyDescent="0.3">
      <c r="A21" s="132"/>
      <c r="B21" s="132"/>
      <c r="C21" s="131" t="s">
        <v>380</v>
      </c>
      <c r="D21" s="179" t="s">
        <v>37</v>
      </c>
      <c r="E21" s="132"/>
      <c r="F21" s="121"/>
      <c r="G21" s="121"/>
      <c r="H21" s="121"/>
      <c r="I21" s="121"/>
      <c r="J21" s="121"/>
      <c r="K21" s="122"/>
      <c r="L21" s="121"/>
    </row>
    <row r="22" spans="1:12" ht="15.75" thickBot="1" x14ac:dyDescent="0.3">
      <c r="A22" s="132"/>
      <c r="B22" s="132"/>
      <c r="C22" s="121"/>
      <c r="D22" s="176"/>
      <c r="E22" s="134"/>
      <c r="F22" s="121"/>
      <c r="G22" s="121"/>
      <c r="H22" s="121"/>
      <c r="I22" s="121"/>
      <c r="J22" s="121"/>
      <c r="K22" s="122"/>
      <c r="L22" s="121"/>
    </row>
    <row r="23" spans="1:12" ht="15.75" thickBot="1" x14ac:dyDescent="0.3">
      <c r="A23" s="132"/>
      <c r="B23" s="132"/>
      <c r="C23" s="131" t="s">
        <v>381</v>
      </c>
      <c r="D23" s="180" t="b">
        <v>0</v>
      </c>
      <c r="E23" s="132"/>
      <c r="F23" s="121"/>
      <c r="G23" s="121"/>
      <c r="H23" s="121"/>
      <c r="I23" s="121"/>
      <c r="J23" s="121"/>
      <c r="K23" s="122"/>
      <c r="L23" s="121"/>
    </row>
    <row r="24" spans="1:12" ht="15.75" thickBot="1" x14ac:dyDescent="0.3">
      <c r="A24" s="132"/>
      <c r="B24" s="132"/>
      <c r="C24" s="121"/>
      <c r="D24" s="176"/>
      <c r="E24" s="132"/>
      <c r="F24" s="121"/>
      <c r="G24" s="121"/>
      <c r="H24" s="121"/>
      <c r="I24" s="121"/>
      <c r="J24" s="121"/>
      <c r="K24" s="122"/>
      <c r="L24" s="121"/>
    </row>
    <row r="25" spans="1:12" ht="15.75" thickBot="1" x14ac:dyDescent="0.3">
      <c r="A25" s="132"/>
      <c r="B25" s="132"/>
      <c r="C25" s="131" t="s">
        <v>382</v>
      </c>
      <c r="D25" s="180" t="b">
        <v>0</v>
      </c>
      <c r="E25" s="133"/>
      <c r="F25" s="121"/>
      <c r="G25" s="121"/>
      <c r="H25" s="121"/>
      <c r="I25" s="121"/>
      <c r="J25" s="121"/>
      <c r="K25" s="122"/>
      <c r="L25" s="121"/>
    </row>
    <row r="26" spans="1:12" ht="15.75" thickBot="1" x14ac:dyDescent="0.3">
      <c r="A26" s="132"/>
      <c r="B26" s="132"/>
      <c r="C26" s="121"/>
      <c r="D26" s="176"/>
      <c r="E26" s="136"/>
      <c r="F26" s="121"/>
      <c r="G26" s="121"/>
      <c r="H26" s="121"/>
      <c r="I26" s="121"/>
      <c r="J26" s="121"/>
      <c r="K26" s="122"/>
      <c r="L26" s="121"/>
    </row>
    <row r="27" spans="1:12" ht="15.75" thickBot="1" x14ac:dyDescent="0.3">
      <c r="A27" s="132"/>
      <c r="B27" s="132"/>
      <c r="C27" s="131" t="s">
        <v>31</v>
      </c>
      <c r="D27" s="179">
        <v>0</v>
      </c>
      <c r="E27" s="136"/>
      <c r="F27" s="121"/>
      <c r="G27" s="121"/>
      <c r="H27" s="121"/>
      <c r="I27" s="121"/>
      <c r="J27" s="121"/>
      <c r="K27" s="122"/>
      <c r="L27" s="121"/>
    </row>
    <row r="28" spans="1:12" x14ac:dyDescent="0.25">
      <c r="A28" s="132"/>
      <c r="B28" s="132"/>
      <c r="C28" s="132"/>
      <c r="D28" s="141"/>
      <c r="E28" s="136"/>
      <c r="F28" s="121"/>
      <c r="G28" s="121"/>
      <c r="H28" s="121"/>
      <c r="I28" s="121"/>
      <c r="J28" s="121"/>
      <c r="K28" s="122"/>
      <c r="L28" s="121"/>
    </row>
    <row r="29" spans="1:12" ht="15.75" thickBot="1" x14ac:dyDescent="0.3">
      <c r="A29" s="132"/>
      <c r="B29" s="132"/>
      <c r="C29" s="131" t="s">
        <v>383</v>
      </c>
      <c r="D29" s="131"/>
      <c r="E29" s="136"/>
      <c r="F29" s="121"/>
      <c r="G29" s="121"/>
      <c r="H29" s="121"/>
      <c r="I29" s="121"/>
      <c r="J29" s="121"/>
      <c r="K29" s="122"/>
      <c r="L29" s="121"/>
    </row>
    <row r="30" spans="1:12" ht="15.75" thickBot="1" x14ac:dyDescent="0.3">
      <c r="A30" s="132"/>
      <c r="B30" s="132"/>
      <c r="C30" s="145" t="s">
        <v>287</v>
      </c>
      <c r="D30" s="144"/>
      <c r="E30" s="136"/>
      <c r="F30" s="121"/>
      <c r="G30" s="121"/>
      <c r="H30" s="121"/>
      <c r="I30" s="121"/>
      <c r="J30" s="121"/>
      <c r="K30" s="122"/>
      <c r="L30" s="121"/>
    </row>
    <row r="31" spans="1:12" ht="15.75" thickBot="1" x14ac:dyDescent="0.3">
      <c r="A31" s="132"/>
      <c r="B31" s="132"/>
      <c r="C31" s="143" t="s">
        <v>288</v>
      </c>
      <c r="D31" s="183" t="s">
        <v>75</v>
      </c>
      <c r="E31" s="136"/>
      <c r="F31" s="121"/>
      <c r="G31" s="121"/>
      <c r="H31" s="121"/>
      <c r="I31" s="121"/>
      <c r="J31" s="121"/>
      <c r="K31" s="122"/>
      <c r="L31" s="127"/>
    </row>
    <row r="32" spans="1:12" ht="15.75" thickBot="1" x14ac:dyDescent="0.3">
      <c r="A32" s="132"/>
      <c r="B32" s="132"/>
      <c r="C32" s="182" t="s">
        <v>457</v>
      </c>
      <c r="D32" s="184">
        <v>0</v>
      </c>
      <c r="E32" s="136"/>
      <c r="F32" s="121"/>
      <c r="G32" s="121"/>
      <c r="H32" s="121"/>
      <c r="I32" s="121"/>
      <c r="J32" s="121"/>
      <c r="K32" s="122"/>
      <c r="L32" s="121"/>
    </row>
    <row r="33" spans="1:12" ht="15.75" thickBot="1" x14ac:dyDescent="0.3">
      <c r="A33" s="132"/>
      <c r="B33" s="132"/>
      <c r="C33" s="182" t="s">
        <v>458</v>
      </c>
      <c r="D33" s="184">
        <v>0</v>
      </c>
      <c r="E33" s="136"/>
      <c r="F33" s="121"/>
      <c r="G33" s="121"/>
      <c r="H33" s="121"/>
      <c r="I33" s="121"/>
      <c r="J33" s="122"/>
      <c r="K33" s="122"/>
      <c r="L33" s="121"/>
    </row>
    <row r="34" spans="1:12" ht="15.75" thickBot="1" x14ac:dyDescent="0.3">
      <c r="A34" s="132"/>
      <c r="B34" s="132"/>
      <c r="C34" s="182" t="s">
        <v>459</v>
      </c>
      <c r="D34" s="184">
        <v>0</v>
      </c>
      <c r="E34" s="136"/>
      <c r="F34" s="121"/>
      <c r="G34" s="121"/>
      <c r="H34" s="121"/>
      <c r="I34" s="121"/>
      <c r="J34" s="125"/>
      <c r="K34" s="122"/>
      <c r="L34" s="121"/>
    </row>
    <row r="35" spans="1:12" ht="15.75" thickBot="1" x14ac:dyDescent="0.3">
      <c r="A35" s="132"/>
      <c r="B35" s="132"/>
      <c r="C35" s="182" t="s">
        <v>460</v>
      </c>
      <c r="D35" s="184">
        <v>0</v>
      </c>
      <c r="E35" s="136"/>
      <c r="F35" s="121"/>
      <c r="G35" s="121"/>
      <c r="H35" s="121"/>
      <c r="I35" s="121"/>
      <c r="J35" s="125"/>
      <c r="K35" s="122"/>
      <c r="L35" s="121"/>
    </row>
    <row r="36" spans="1:12" ht="15.75" thickBot="1" x14ac:dyDescent="0.3">
      <c r="A36" s="132"/>
      <c r="B36" s="132"/>
      <c r="C36" s="182" t="s">
        <v>461</v>
      </c>
      <c r="D36" s="184">
        <v>0</v>
      </c>
      <c r="E36" s="132"/>
      <c r="F36" s="121"/>
      <c r="G36" s="121"/>
      <c r="H36" s="121"/>
      <c r="I36" s="121"/>
      <c r="J36" s="125"/>
      <c r="K36" s="122"/>
      <c r="L36" s="121"/>
    </row>
    <row r="37" spans="1:12" ht="15.75" thickBot="1" x14ac:dyDescent="0.3">
      <c r="A37" s="132"/>
      <c r="B37" s="132"/>
      <c r="C37" s="182" t="s">
        <v>462</v>
      </c>
      <c r="D37" s="184">
        <v>0</v>
      </c>
      <c r="E37" s="136"/>
      <c r="F37" s="121"/>
      <c r="G37" s="121"/>
      <c r="H37" s="121"/>
      <c r="I37" s="121"/>
      <c r="J37" s="125"/>
      <c r="K37" s="122"/>
      <c r="L37" s="121"/>
    </row>
    <row r="38" spans="1:12" ht="15.75" thickBot="1" x14ac:dyDescent="0.3">
      <c r="A38" s="132"/>
      <c r="B38" s="132"/>
      <c r="C38" s="182" t="s">
        <v>463</v>
      </c>
      <c r="D38" s="184">
        <v>0</v>
      </c>
      <c r="E38" s="136"/>
      <c r="F38" s="121"/>
      <c r="G38" s="121"/>
      <c r="H38" s="121"/>
      <c r="I38" s="121"/>
      <c r="J38" s="125"/>
      <c r="K38" s="122"/>
      <c r="L38" s="121"/>
    </row>
    <row r="39" spans="1:12" ht="15.75" thickBot="1" x14ac:dyDescent="0.3">
      <c r="A39" s="132"/>
      <c r="B39" s="132"/>
      <c r="C39" s="182" t="s">
        <v>464</v>
      </c>
      <c r="D39" s="184">
        <v>0</v>
      </c>
      <c r="E39" s="136"/>
      <c r="F39" s="121"/>
      <c r="G39" s="121"/>
      <c r="H39" s="121"/>
      <c r="I39" s="121"/>
      <c r="J39" s="124"/>
      <c r="K39" s="122"/>
      <c r="L39" s="121"/>
    </row>
    <row r="40" spans="1:12" ht="15.75" thickBot="1" x14ac:dyDescent="0.3">
      <c r="A40" s="132"/>
      <c r="B40" s="132"/>
      <c r="C40" s="182" t="s">
        <v>465</v>
      </c>
      <c r="D40" s="184">
        <v>0</v>
      </c>
      <c r="E40" s="136"/>
      <c r="F40" s="121"/>
      <c r="G40" s="121"/>
      <c r="H40" s="121"/>
      <c r="I40" s="121"/>
      <c r="J40" s="125"/>
      <c r="K40" s="122"/>
      <c r="L40" s="121"/>
    </row>
    <row r="41" spans="1:12" ht="15.75" thickBot="1" x14ac:dyDescent="0.3">
      <c r="A41" s="132"/>
      <c r="B41" s="132"/>
      <c r="C41" s="182" t="s">
        <v>466</v>
      </c>
      <c r="D41" s="184">
        <v>0</v>
      </c>
      <c r="E41" s="136"/>
      <c r="F41" s="121"/>
      <c r="G41" s="121"/>
      <c r="H41" s="121"/>
      <c r="I41" s="121"/>
      <c r="J41" s="125"/>
      <c r="K41" s="122"/>
      <c r="L41" s="121"/>
    </row>
    <row r="42" spans="1:12" ht="15.75" thickBot="1" x14ac:dyDescent="0.3">
      <c r="A42" s="132"/>
      <c r="B42" s="132"/>
      <c r="C42" s="182" t="s">
        <v>467</v>
      </c>
      <c r="D42" s="184">
        <v>0</v>
      </c>
      <c r="E42" s="132"/>
      <c r="F42" s="121"/>
      <c r="G42" s="121"/>
      <c r="H42" s="121"/>
      <c r="I42" s="121"/>
      <c r="J42" s="125"/>
      <c r="K42" s="122"/>
      <c r="L42" s="121"/>
    </row>
    <row r="43" spans="1:12" ht="15.75" thickBot="1" x14ac:dyDescent="0.3">
      <c r="A43" s="132"/>
      <c r="B43" s="132"/>
      <c r="C43" s="182" t="s">
        <v>468</v>
      </c>
      <c r="D43" s="184">
        <v>0</v>
      </c>
      <c r="E43" s="132"/>
      <c r="F43" s="121"/>
      <c r="G43" s="121"/>
      <c r="H43" s="121"/>
      <c r="I43" s="121"/>
      <c r="J43" s="125"/>
      <c r="K43" s="122"/>
      <c r="L43" s="121"/>
    </row>
    <row r="44" spans="1:12" ht="15.75" thickBot="1" x14ac:dyDescent="0.3">
      <c r="A44" s="132"/>
      <c r="B44" s="132"/>
      <c r="C44" s="182" t="s">
        <v>469</v>
      </c>
      <c r="D44" s="184">
        <v>0</v>
      </c>
      <c r="E44" s="132"/>
      <c r="F44" s="121"/>
      <c r="G44" s="121"/>
      <c r="H44" s="121"/>
      <c r="I44" s="121"/>
      <c r="J44" s="125"/>
      <c r="K44" s="122"/>
      <c r="L44" s="121"/>
    </row>
    <row r="45" spans="1:12" ht="15.75" thickBot="1" x14ac:dyDescent="0.3">
      <c r="A45" s="132"/>
      <c r="B45" s="132"/>
      <c r="C45" s="132"/>
      <c r="D45" s="166"/>
      <c r="E45" s="132"/>
      <c r="F45" s="121"/>
      <c r="G45" s="121"/>
      <c r="H45" s="121"/>
      <c r="I45" s="121"/>
      <c r="J45" s="125"/>
      <c r="K45" s="122"/>
      <c r="L45" s="121"/>
    </row>
    <row r="46" spans="1:12" ht="15.75" thickBot="1" x14ac:dyDescent="0.3">
      <c r="A46" s="132"/>
      <c r="B46" s="132"/>
      <c r="C46" s="131" t="s">
        <v>40</v>
      </c>
      <c r="D46" s="131"/>
      <c r="E46" s="132"/>
      <c r="F46" s="121"/>
      <c r="G46" s="121"/>
      <c r="H46" s="121"/>
      <c r="I46" s="121"/>
      <c r="J46" s="125"/>
      <c r="K46" s="122"/>
      <c r="L46" s="121"/>
    </row>
    <row r="47" spans="1:12" ht="15.75" thickBot="1" x14ac:dyDescent="0.3">
      <c r="A47" s="132"/>
      <c r="B47" s="132"/>
      <c r="C47" s="146" t="s">
        <v>311</v>
      </c>
      <c r="D47" s="142"/>
      <c r="E47" s="132"/>
      <c r="F47" s="121"/>
      <c r="G47" s="121"/>
      <c r="H47" s="121"/>
      <c r="I47" s="121"/>
      <c r="J47" s="125"/>
      <c r="K47" s="122"/>
      <c r="L47" s="121"/>
    </row>
    <row r="48" spans="1:12" ht="15.75" thickBot="1" x14ac:dyDescent="0.3">
      <c r="A48" s="132"/>
      <c r="B48" s="132"/>
      <c r="C48" s="182" t="s">
        <v>41</v>
      </c>
      <c r="D48" s="184">
        <v>0</v>
      </c>
      <c r="E48" s="132"/>
      <c r="F48" s="121"/>
      <c r="G48" s="121"/>
      <c r="H48" s="121"/>
      <c r="I48" s="121"/>
      <c r="J48" s="124"/>
      <c r="K48" s="122"/>
      <c r="L48" s="121"/>
    </row>
    <row r="49" spans="1:12" ht="15.75" thickBot="1" x14ac:dyDescent="0.3">
      <c r="A49" s="132"/>
      <c r="B49" s="132"/>
      <c r="C49" s="182" t="s">
        <v>42</v>
      </c>
      <c r="D49" s="184">
        <v>0</v>
      </c>
      <c r="E49" s="132"/>
      <c r="F49" s="121"/>
      <c r="G49" s="121"/>
      <c r="H49" s="121"/>
      <c r="I49" s="121"/>
      <c r="J49" s="125"/>
      <c r="K49" s="122"/>
      <c r="L49" s="121"/>
    </row>
    <row r="50" spans="1:12" ht="15.75" thickBot="1" x14ac:dyDescent="0.3">
      <c r="A50" s="132"/>
      <c r="B50" s="132"/>
      <c r="C50" s="182" t="s">
        <v>43</v>
      </c>
      <c r="D50" s="184">
        <v>0</v>
      </c>
      <c r="E50" s="132"/>
      <c r="F50" s="121"/>
      <c r="G50" s="121"/>
      <c r="H50" s="121"/>
      <c r="I50" s="121"/>
      <c r="J50" s="125"/>
      <c r="K50" s="122"/>
      <c r="L50" s="121"/>
    </row>
    <row r="51" spans="1:12" ht="15.75" thickBot="1" x14ac:dyDescent="0.3">
      <c r="A51" s="132"/>
      <c r="B51" s="132"/>
      <c r="C51" s="182" t="s">
        <v>44</v>
      </c>
      <c r="D51" s="184">
        <v>0</v>
      </c>
      <c r="E51" s="134"/>
      <c r="F51" s="121"/>
      <c r="G51" s="121"/>
      <c r="H51" s="121"/>
      <c r="I51" s="121"/>
      <c r="J51" s="125"/>
      <c r="K51" s="122"/>
      <c r="L51" s="121"/>
    </row>
    <row r="52" spans="1:12" x14ac:dyDescent="0.25">
      <c r="A52" s="132"/>
      <c r="B52" s="132"/>
      <c r="C52" s="135"/>
      <c r="D52" s="138"/>
      <c r="E52" s="132"/>
      <c r="F52" s="121"/>
      <c r="G52" s="121"/>
      <c r="H52" s="121"/>
      <c r="I52" s="121"/>
      <c r="J52" s="125"/>
      <c r="K52" s="122"/>
      <c r="L52" s="121"/>
    </row>
    <row r="53" spans="1:12" x14ac:dyDescent="0.25">
      <c r="A53" s="132"/>
      <c r="B53" s="132"/>
      <c r="C53" s="132"/>
      <c r="D53" s="132"/>
      <c r="E53" s="132"/>
      <c r="F53" s="121"/>
      <c r="G53" s="121"/>
      <c r="H53" s="121"/>
      <c r="I53" s="121"/>
      <c r="J53" s="125"/>
      <c r="K53" s="122"/>
      <c r="L53" s="121"/>
    </row>
    <row r="54" spans="1:12" ht="15.75" thickBot="1" x14ac:dyDescent="0.3">
      <c r="A54" s="132"/>
      <c r="B54" s="132"/>
      <c r="C54" s="131" t="s">
        <v>45</v>
      </c>
      <c r="D54" s="131"/>
      <c r="E54" s="134"/>
      <c r="F54" s="121"/>
      <c r="G54" s="121"/>
      <c r="H54" s="121"/>
      <c r="I54" s="121"/>
      <c r="J54" s="124"/>
      <c r="K54" s="122"/>
      <c r="L54" s="121"/>
    </row>
    <row r="55" spans="1:12" ht="15.75" thickBot="1" x14ac:dyDescent="0.3">
      <c r="A55" s="132"/>
      <c r="B55" s="132"/>
      <c r="C55" s="146" t="s">
        <v>312</v>
      </c>
      <c r="D55" s="142"/>
      <c r="E55" s="132"/>
      <c r="F55" s="121"/>
      <c r="G55" s="121"/>
      <c r="H55" s="121"/>
      <c r="I55" s="121"/>
      <c r="J55" s="124"/>
      <c r="K55" s="122"/>
      <c r="L55" s="121"/>
    </row>
    <row r="56" spans="1:12" ht="15.75" thickBot="1" x14ac:dyDescent="0.3">
      <c r="A56" s="132"/>
      <c r="B56" s="132"/>
      <c r="C56" s="182" t="s">
        <v>41</v>
      </c>
      <c r="D56" s="184">
        <v>0</v>
      </c>
      <c r="E56" s="132"/>
      <c r="F56" s="121"/>
      <c r="G56" s="121"/>
      <c r="H56" s="121"/>
      <c r="I56" s="121"/>
      <c r="J56" s="125"/>
      <c r="K56" s="122"/>
      <c r="L56" s="121"/>
    </row>
    <row r="57" spans="1:12" ht="15.75" thickBot="1" x14ac:dyDescent="0.3">
      <c r="A57" s="132"/>
      <c r="B57" s="132"/>
      <c r="C57" s="182" t="s">
        <v>42</v>
      </c>
      <c r="D57" s="184">
        <v>0</v>
      </c>
      <c r="E57" s="134"/>
      <c r="F57" s="121"/>
      <c r="G57" s="121"/>
      <c r="H57" s="126"/>
      <c r="I57" s="126"/>
      <c r="J57" s="124"/>
      <c r="K57" s="122"/>
      <c r="L57" s="121"/>
    </row>
    <row r="58" spans="1:12" x14ac:dyDescent="0.25">
      <c r="A58" s="132"/>
      <c r="B58" s="132"/>
      <c r="C58" s="121"/>
      <c r="D58" s="121"/>
      <c r="E58" s="132"/>
      <c r="F58" s="121"/>
      <c r="G58" s="121"/>
      <c r="H58" s="124"/>
      <c r="I58" s="124"/>
      <c r="J58" s="124"/>
      <c r="K58" s="121"/>
      <c r="L58" s="121"/>
    </row>
    <row r="59" spans="1:12" x14ac:dyDescent="0.25">
      <c r="A59" s="132"/>
      <c r="B59" s="132"/>
      <c r="C59" s="121"/>
      <c r="D59" s="121"/>
      <c r="E59" s="132"/>
      <c r="F59" s="121"/>
      <c r="G59" s="121"/>
      <c r="H59" s="121"/>
      <c r="I59" s="121"/>
      <c r="J59" s="121"/>
      <c r="K59" s="121"/>
      <c r="L59" s="121"/>
    </row>
    <row r="60" spans="1:12" x14ac:dyDescent="0.25">
      <c r="A60" s="132"/>
      <c r="B60" s="132"/>
      <c r="C60" s="121"/>
      <c r="D60" s="121"/>
      <c r="E60" s="132"/>
      <c r="F60" s="121"/>
      <c r="G60" s="121"/>
      <c r="H60" s="121"/>
      <c r="I60" s="121"/>
      <c r="J60" s="121"/>
      <c r="K60" s="121"/>
      <c r="L60" s="121"/>
    </row>
    <row r="61" spans="1:12" s="175" customFormat="1" ht="18.75" x14ac:dyDescent="0.3">
      <c r="A61" s="132"/>
      <c r="B61" s="132"/>
      <c r="C61" s="132"/>
      <c r="D61" s="132"/>
      <c r="E61" s="132"/>
      <c r="F61" s="123"/>
      <c r="G61" s="123"/>
      <c r="H61" s="123"/>
      <c r="I61" s="123"/>
      <c r="J61" s="123"/>
      <c r="K61" s="123"/>
      <c r="L61" s="123"/>
    </row>
    <row r="62" spans="1:12" x14ac:dyDescent="0.25">
      <c r="A62" s="121"/>
      <c r="B62" s="121"/>
      <c r="C62" s="133"/>
      <c r="D62" s="132"/>
      <c r="E62" s="121"/>
      <c r="F62" s="121"/>
      <c r="G62" s="121"/>
      <c r="H62" s="121"/>
      <c r="I62" s="121"/>
      <c r="J62" s="121"/>
      <c r="K62" s="121"/>
      <c r="L62" s="121"/>
    </row>
    <row r="63" spans="1:12" ht="36" x14ac:dyDescent="0.55000000000000004">
      <c r="A63" s="121"/>
      <c r="B63" s="121"/>
      <c r="C63" s="130" t="s">
        <v>191</v>
      </c>
      <c r="D63" s="130"/>
      <c r="E63" s="149"/>
      <c r="F63" s="149"/>
      <c r="G63" s="149"/>
      <c r="H63" s="149"/>
      <c r="I63" s="149"/>
      <c r="J63" s="149"/>
      <c r="K63" s="153"/>
      <c r="L63" s="153"/>
    </row>
    <row r="64" spans="1:12" x14ac:dyDescent="0.25">
      <c r="A64" s="121"/>
      <c r="B64" s="121"/>
      <c r="C64" s="121"/>
      <c r="D64" s="121"/>
      <c r="E64" s="121"/>
      <c r="F64" s="121"/>
      <c r="G64" s="121"/>
      <c r="H64" s="121"/>
      <c r="I64" s="121"/>
      <c r="J64" s="121"/>
      <c r="K64" s="121"/>
      <c r="L64" s="121"/>
    </row>
    <row r="65" spans="1:12" x14ac:dyDescent="0.25">
      <c r="A65" s="121"/>
      <c r="B65" s="121"/>
      <c r="C65" s="121"/>
      <c r="D65" s="121"/>
      <c r="E65" s="121"/>
      <c r="F65" s="121"/>
      <c r="G65" s="121"/>
      <c r="H65" s="121"/>
      <c r="I65" s="121"/>
      <c r="J65" s="121"/>
      <c r="K65" s="121"/>
      <c r="L65" s="121"/>
    </row>
    <row r="66" spans="1:12" ht="15.75" thickBot="1" x14ac:dyDescent="0.3">
      <c r="A66" s="121"/>
      <c r="B66" s="121"/>
      <c r="C66" s="150" t="s">
        <v>192</v>
      </c>
      <c r="D66" s="151" t="s">
        <v>4</v>
      </c>
      <c r="E66" s="151" t="s">
        <v>195</v>
      </c>
      <c r="F66" s="151" t="s">
        <v>196</v>
      </c>
      <c r="G66" s="151" t="s">
        <v>7</v>
      </c>
      <c r="H66" s="151" t="s">
        <v>219</v>
      </c>
      <c r="I66" s="152" t="s">
        <v>284</v>
      </c>
      <c r="J66" s="121"/>
      <c r="K66" s="121"/>
    </row>
    <row r="67" spans="1:12" ht="60.75" thickBot="1" x14ac:dyDescent="0.3">
      <c r="A67" s="121"/>
      <c r="B67" s="121"/>
      <c r="C67" s="164" t="s">
        <v>16</v>
      </c>
      <c r="D67" s="157" t="s">
        <v>198</v>
      </c>
      <c r="E67" s="157" t="s">
        <v>199</v>
      </c>
      <c r="F67" s="157" t="s">
        <v>384</v>
      </c>
      <c r="G67" s="157" t="s">
        <v>283</v>
      </c>
      <c r="H67" s="158" t="s">
        <v>385</v>
      </c>
      <c r="I67" s="159" t="s">
        <v>218</v>
      </c>
      <c r="J67" s="121"/>
      <c r="K67" s="121"/>
    </row>
    <row r="68" spans="1:12" ht="30.75" thickBot="1" x14ac:dyDescent="0.3">
      <c r="A68" s="121"/>
      <c r="B68" s="121"/>
      <c r="C68" s="164" t="s">
        <v>189</v>
      </c>
      <c r="D68" s="157" t="s">
        <v>220</v>
      </c>
      <c r="E68" s="157" t="s">
        <v>200</v>
      </c>
      <c r="F68" s="157" t="s">
        <v>201</v>
      </c>
      <c r="G68" s="157" t="s">
        <v>221</v>
      </c>
      <c r="H68" s="158"/>
      <c r="I68" s="160"/>
      <c r="J68" s="121"/>
      <c r="K68" s="121"/>
    </row>
    <row r="69" spans="1:12" ht="30.75" thickBot="1" x14ac:dyDescent="0.3">
      <c r="A69" s="121"/>
      <c r="B69" s="121"/>
      <c r="C69" s="164" t="s">
        <v>18</v>
      </c>
      <c r="D69" s="157" t="s">
        <v>202</v>
      </c>
      <c r="E69" s="157" t="s">
        <v>199</v>
      </c>
      <c r="F69" s="157" t="s">
        <v>203</v>
      </c>
      <c r="G69" s="157" t="s">
        <v>204</v>
      </c>
      <c r="H69" s="157"/>
      <c r="I69" s="160"/>
      <c r="J69" s="121"/>
      <c r="K69" s="121"/>
    </row>
    <row r="70" spans="1:12" ht="30.75" thickBot="1" x14ac:dyDescent="0.3">
      <c r="A70" s="121"/>
      <c r="B70" s="121"/>
      <c r="C70" s="164" t="s">
        <v>25</v>
      </c>
      <c r="D70" s="157" t="s">
        <v>205</v>
      </c>
      <c r="E70" s="157" t="s">
        <v>199</v>
      </c>
      <c r="F70" s="157" t="s">
        <v>206</v>
      </c>
      <c r="G70" s="157" t="s">
        <v>207</v>
      </c>
      <c r="H70" s="157"/>
      <c r="I70" s="160"/>
      <c r="J70" s="121"/>
      <c r="K70" s="121"/>
    </row>
    <row r="71" spans="1:12" ht="30.75" thickBot="1" x14ac:dyDescent="0.3">
      <c r="A71" s="121"/>
      <c r="B71" s="121"/>
      <c r="C71" s="164" t="s">
        <v>28</v>
      </c>
      <c r="D71" s="157" t="s">
        <v>208</v>
      </c>
      <c r="E71" s="157" t="s">
        <v>209</v>
      </c>
      <c r="F71" s="157" t="s">
        <v>223</v>
      </c>
      <c r="G71" s="157" t="s">
        <v>222</v>
      </c>
      <c r="H71" s="158" t="s">
        <v>194</v>
      </c>
      <c r="I71" s="160"/>
      <c r="J71" s="121"/>
      <c r="K71" s="121"/>
    </row>
    <row r="72" spans="1:12" ht="45.75" thickBot="1" x14ac:dyDescent="0.3">
      <c r="A72" s="132"/>
      <c r="B72" s="132"/>
      <c r="C72" s="164" t="s">
        <v>380</v>
      </c>
      <c r="D72" s="157" t="s">
        <v>214</v>
      </c>
      <c r="E72" s="157" t="s">
        <v>199</v>
      </c>
      <c r="F72" s="157" t="s">
        <v>233</v>
      </c>
      <c r="G72" s="157" t="s">
        <v>379</v>
      </c>
      <c r="H72" s="158" t="s">
        <v>318</v>
      </c>
      <c r="I72" s="160"/>
      <c r="J72" s="121"/>
      <c r="K72" s="121"/>
    </row>
    <row r="73" spans="1:12" ht="45.75" thickBot="1" x14ac:dyDescent="0.3">
      <c r="A73" s="132"/>
      <c r="B73" s="132"/>
      <c r="C73" s="164" t="s">
        <v>381</v>
      </c>
      <c r="D73" s="157" t="s">
        <v>215</v>
      </c>
      <c r="E73" s="157" t="s">
        <v>200</v>
      </c>
      <c r="F73" s="157" t="s">
        <v>201</v>
      </c>
      <c r="G73" s="157" t="s">
        <v>216</v>
      </c>
      <c r="H73" s="158" t="s">
        <v>231</v>
      </c>
      <c r="I73" s="160"/>
      <c r="J73" s="121"/>
      <c r="K73" s="121"/>
    </row>
    <row r="74" spans="1:12" ht="30.75" thickBot="1" x14ac:dyDescent="0.3">
      <c r="A74" s="132"/>
      <c r="B74" s="132"/>
      <c r="C74" s="165" t="s">
        <v>382</v>
      </c>
      <c r="D74" s="161" t="s">
        <v>217</v>
      </c>
      <c r="E74" s="161" t="s">
        <v>200</v>
      </c>
      <c r="F74" s="161" t="s">
        <v>201</v>
      </c>
      <c r="G74" s="161" t="s">
        <v>332</v>
      </c>
      <c r="H74" s="162" t="s">
        <v>232</v>
      </c>
      <c r="I74" s="163"/>
      <c r="J74" s="121"/>
      <c r="K74" s="121"/>
    </row>
    <row r="75" spans="1:12" ht="30.75" thickBot="1" x14ac:dyDescent="0.3">
      <c r="A75" s="132"/>
      <c r="B75" s="132"/>
      <c r="C75" s="164" t="s">
        <v>31</v>
      </c>
      <c r="D75" s="157" t="s">
        <v>211</v>
      </c>
      <c r="E75" s="157" t="s">
        <v>209</v>
      </c>
      <c r="F75" s="157" t="s">
        <v>225</v>
      </c>
      <c r="G75" s="157" t="s">
        <v>226</v>
      </c>
      <c r="H75" s="158" t="s">
        <v>224</v>
      </c>
      <c r="I75" s="160"/>
      <c r="J75" s="121"/>
      <c r="K75" s="121"/>
    </row>
    <row r="76" spans="1:12" ht="60.75" thickBot="1" x14ac:dyDescent="0.3">
      <c r="A76" s="132"/>
      <c r="B76" s="132"/>
      <c r="C76" s="164" t="s">
        <v>383</v>
      </c>
      <c r="D76" s="157" t="s">
        <v>212</v>
      </c>
      <c r="E76" s="157" t="s">
        <v>209</v>
      </c>
      <c r="F76" s="157" t="s">
        <v>210</v>
      </c>
      <c r="G76" s="157" t="s">
        <v>213</v>
      </c>
      <c r="H76" s="158" t="s">
        <v>227</v>
      </c>
      <c r="I76" s="160"/>
      <c r="J76" s="121"/>
      <c r="K76" s="121"/>
    </row>
    <row r="77" spans="1:12" ht="45.75" thickBot="1" x14ac:dyDescent="0.3">
      <c r="A77" s="132"/>
      <c r="B77" s="132"/>
      <c r="C77" s="164" t="s">
        <v>40</v>
      </c>
      <c r="D77" s="157" t="s">
        <v>315</v>
      </c>
      <c r="E77" s="157" t="s">
        <v>209</v>
      </c>
      <c r="F77" s="157" t="s">
        <v>210</v>
      </c>
      <c r="G77" s="157" t="s">
        <v>313</v>
      </c>
      <c r="H77" s="158" t="s">
        <v>230</v>
      </c>
      <c r="I77" s="160"/>
      <c r="J77" s="121"/>
      <c r="K77" s="121"/>
    </row>
    <row r="78" spans="1:12" ht="45.75" thickBot="1" x14ac:dyDescent="0.3">
      <c r="A78" s="132"/>
      <c r="B78" s="132"/>
      <c r="C78" s="164" t="s">
        <v>45</v>
      </c>
      <c r="D78" s="157" t="s">
        <v>316</v>
      </c>
      <c r="E78" s="157" t="s">
        <v>209</v>
      </c>
      <c r="F78" s="157" t="s">
        <v>210</v>
      </c>
      <c r="G78" s="157" t="s">
        <v>314</v>
      </c>
      <c r="H78" s="170" t="s">
        <v>317</v>
      </c>
      <c r="I78" s="160"/>
      <c r="J78" s="121"/>
      <c r="K78" s="121"/>
    </row>
    <row r="79" spans="1:12" s="173" customFormat="1" ht="15.75" thickBot="1" x14ac:dyDescent="0.3">
      <c r="A79" s="154"/>
      <c r="B79" s="154"/>
      <c r="C79" s="155"/>
      <c r="D79" s="155"/>
      <c r="E79" s="155"/>
      <c r="F79" s="155"/>
      <c r="G79" s="155"/>
      <c r="H79" s="155"/>
      <c r="I79" s="155"/>
      <c r="J79" s="155"/>
      <c r="K79" s="155"/>
    </row>
    <row r="80" spans="1:12" s="173" customFormat="1" ht="15.75" thickBot="1" x14ac:dyDescent="0.3">
      <c r="A80" s="154"/>
      <c r="B80" s="154"/>
      <c r="C80" s="156"/>
      <c r="D80" s="156"/>
      <c r="E80" s="156"/>
      <c r="F80" s="156"/>
      <c r="G80" s="156"/>
      <c r="H80" s="156"/>
      <c r="I80" s="156"/>
      <c r="J80" s="156"/>
      <c r="K80" s="155"/>
    </row>
    <row r="81" spans="1:11" s="173" customFormat="1" ht="409.6" customHeight="1" thickBot="1" x14ac:dyDescent="0.3">
      <c r="A81" s="154"/>
      <c r="B81" s="154"/>
      <c r="C81" s="156"/>
      <c r="D81" s="156"/>
      <c r="E81" s="156"/>
      <c r="F81" s="156"/>
      <c r="G81" s="156"/>
      <c r="H81" s="156"/>
      <c r="I81" s="156"/>
      <c r="J81" s="156"/>
      <c r="K81" s="155"/>
    </row>
    <row r="82" spans="1:11" s="173" customFormat="1" ht="409.5" customHeight="1" thickBot="1" x14ac:dyDescent="0.3">
      <c r="A82" s="154"/>
      <c r="B82" s="154"/>
      <c r="C82" s="156"/>
      <c r="D82" s="156"/>
      <c r="E82" s="156"/>
      <c r="F82" s="156"/>
      <c r="G82" s="156"/>
      <c r="H82" s="156"/>
      <c r="I82" s="156"/>
      <c r="J82" s="156"/>
      <c r="K82" s="155"/>
    </row>
  </sheetData>
  <sheetProtection algorithmName="SHA-512" hashValue="lpuRtXbS8p8nSLGZV4E+vF+83ie33Z1LhPyhTfE5v1yTQBmqn7YmDHqTw0bd+AqEt6+PwllQGWyreZ7lV1J7VQ==" saltValue="YVUJqBsfUW6QM/EPZNAUoA==" spinCount="100000" sheet="1" objects="1" scenarios="1"/>
  <phoneticPr fontId="23" type="noConversion"/>
  <dataValidations count="3">
    <dataValidation operator="greaterThan" allowBlank="1" showInputMessage="1" showErrorMessage="1" sqref="D27" xr:uid="{8012B779-3DF2-48C6-B9F0-FA46F854AF5B}"/>
    <dataValidation type="whole" allowBlank="1" showInputMessage="1" showErrorMessage="1" sqref="D48:D51 D56:D57 E37:E41 D32:D44 E26:E33" xr:uid="{EF91EC1F-346F-4EC8-9404-20EE1C7000C5}">
      <formula1>0</formula1>
      <formula2>1000</formula2>
    </dataValidation>
    <dataValidation type="whole" allowBlank="1" showInputMessage="1" showErrorMessage="1" sqref="D19" xr:uid="{176ED2B2-966A-4B08-887E-E43F1D205481}">
      <formula1>344</formula1>
      <formula2>569</formula2>
    </dataValidation>
  </dataValidations>
  <hyperlinks>
    <hyperlink ref="I67" r:id="rId1" xr:uid="{190EB308-732D-4120-A2FC-ED8D1C7E548F}"/>
    <hyperlink ref="H67" r:id="rId2" xr:uid="{05BF926B-A1B3-4934-94FD-50D605D07239}"/>
    <hyperlink ref="H71" r:id="rId3" xr:uid="{233014FC-3885-44BE-9B5A-035B758FC549}"/>
    <hyperlink ref="H75" r:id="rId4" xr:uid="{822D1575-86BA-4426-B719-AF3B9768789A}"/>
    <hyperlink ref="H76" r:id="rId5" location=":~:text=The%20education%20system%20for%20schools,%E2%80%9317%20years%20of%20age)." xr:uid="{243CAEC7-00A1-43E4-8172-A64D6AF4FA33}"/>
    <hyperlink ref="H77" r:id="rId6" location="Maori" xr:uid="{7BE49EE8-1350-4AF6-9460-F827849CF148}"/>
    <hyperlink ref="H73" r:id="rId7" xr:uid="{185AD95A-F1EC-404E-964D-2E7724F02A39}"/>
    <hyperlink ref="H74" r:id="rId8" xr:uid="{7139D810-2D9A-45E3-B68D-107EEEF92E01}"/>
    <hyperlink ref="H78" r:id="rId9" location="Pacificbilingual" xr:uid="{E9493FF5-8DF9-4339-A987-4232CAB15BB8}"/>
    <hyperlink ref="H72" r:id="rId10" location="Vandalism" xr:uid="{FCCE2FE6-7CF3-4D68-AB72-0A87B744FCC3}"/>
  </hyperlinks>
  <pageMargins left="0.7" right="0.7" top="0.75" bottom="0.75" header="0.3" footer="0.3"/>
  <pageSetup orientation="portrait" r:id="rId11"/>
  <tableParts count="1">
    <tablePart r:id="rId12"/>
  </tableParts>
  <extLst>
    <ext xmlns:x14="http://schemas.microsoft.com/office/spreadsheetml/2009/9/main" uri="{CCE6A557-97BC-4b89-ADB6-D9C93CAAB3DF}">
      <x14:dataValidations xmlns:xm="http://schemas.microsoft.com/office/excel/2006/main" count="7">
        <x14:dataValidation type="list" allowBlank="1" showInputMessage="1" showErrorMessage="1" xr:uid="{7F722BB1-73B7-4E44-B2D7-C34F22EC7BE2}">
          <x14:formula1>
            <xm:f>Calculation!$AC$7:$AC$9</xm:f>
          </x14:formula1>
          <xm:sqref>D15:D16</xm:sqref>
        </x14:dataValidation>
        <x14:dataValidation type="list" allowBlank="1" showInputMessage="1" showErrorMessage="1" xr:uid="{1D13F3D2-0AF2-4064-8DEB-076249325901}">
          <x14:formula1>
            <xm:f>Calculation!$AA$7:$AA$8</xm:f>
          </x14:formula1>
          <xm:sqref>D13:D14</xm:sqref>
        </x14:dataValidation>
        <x14:dataValidation type="list" allowBlank="1" showInputMessage="1" showErrorMessage="1" xr:uid="{EBF865B7-D74F-4C4F-89C4-2FF6D3BE4641}">
          <x14:formula1>
            <xm:f>Calculation!$W$7:$W$12</xm:f>
          </x14:formula1>
          <xm:sqref>D21</xm:sqref>
        </x14:dataValidation>
        <x14:dataValidation type="list" allowBlank="1" showInputMessage="1" showErrorMessage="1" xr:uid="{3D48E5C4-AD29-40BA-B7A4-098F17E2FC08}">
          <x14:formula1>
            <xm:f>Calculation!$Y$7:$Y$8</xm:f>
          </x14:formula1>
          <xm:sqref>D25</xm:sqref>
        </x14:dataValidation>
        <x14:dataValidation type="list" allowBlank="1" showInputMessage="1" showErrorMessage="1" xr:uid="{04E5D3CC-555E-4D98-849D-3CE66C3EAD09}">
          <x14:formula1>
            <xm:f>Calculation!$AE$7:$AE$8</xm:f>
          </x14:formula1>
          <xm:sqref>D23</xm:sqref>
        </x14:dataValidation>
        <x14:dataValidation type="list" allowBlank="1" showInputMessage="1" showErrorMessage="1" xr:uid="{E8248DD5-A7D3-4D84-AAA3-4204329340BF}">
          <x14:formula1>
            <xm:f>Calculation!$AG$7:$AG$8</xm:f>
          </x14:formula1>
          <xm:sqref>D17</xm:sqref>
        </x14:dataValidation>
        <x14:dataValidation type="list" operator="equal" allowBlank="1" showInputMessage="1" showErrorMessage="1" xr:uid="{B751780A-D26C-4D41-873A-61C68CBAF0CC}">
          <x14:formula1>
            <xm:f>Calculation!U7:U9</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6943-F4D3-4A8B-A967-3B1D5AB867A5}">
  <sheetPr codeName="Sheet1">
    <tabColor rgb="FFFFFF00"/>
  </sheetPr>
  <dimension ref="A1:Q103"/>
  <sheetViews>
    <sheetView showGridLines="0" topLeftCell="A24" zoomScale="85" zoomScaleNormal="85" workbookViewId="0">
      <selection activeCell="C31" sqref="C31"/>
    </sheetView>
  </sheetViews>
  <sheetFormatPr defaultColWidth="9.140625" defaultRowHeight="15" x14ac:dyDescent="0.25"/>
  <cols>
    <col min="1" max="1" width="9.140625" style="196"/>
    <col min="2" max="2" width="55.28515625" style="196" customWidth="1"/>
    <col min="3" max="3" width="23.28515625" style="196" customWidth="1"/>
    <col min="4" max="4" width="53.85546875" style="196" customWidth="1"/>
    <col min="5" max="5" width="85" style="196" customWidth="1"/>
    <col min="6" max="6" width="82.5703125" style="196" customWidth="1"/>
    <col min="7" max="7" width="65" style="196" customWidth="1"/>
    <col min="8" max="9" width="9.140625" style="196"/>
    <col min="10" max="10" width="105.28515625" style="196" customWidth="1"/>
    <col min="11" max="11" width="164.5703125" style="196" customWidth="1"/>
    <col min="12" max="12" width="217.7109375" style="196" customWidth="1"/>
    <col min="13" max="17" width="9.140625" style="196"/>
    <col min="18" max="18" width="9.140625" style="196" customWidth="1"/>
    <col min="19" max="16384" width="9.140625" style="196"/>
  </cols>
  <sheetData>
    <row r="1" spans="1:17" x14ac:dyDescent="0.25">
      <c r="A1" s="195"/>
      <c r="B1" s="195"/>
      <c r="C1" s="195"/>
      <c r="D1" s="195"/>
      <c r="E1" s="195"/>
      <c r="F1" s="195"/>
      <c r="G1" s="195"/>
      <c r="H1" s="195"/>
      <c r="I1" s="195"/>
      <c r="J1" s="195"/>
      <c r="K1" s="195"/>
      <c r="L1" s="195"/>
      <c r="M1" s="195"/>
      <c r="N1" s="195"/>
      <c r="O1" s="195"/>
      <c r="P1" s="195"/>
      <c r="Q1" s="195"/>
    </row>
    <row r="2" spans="1:17" x14ac:dyDescent="0.25">
      <c r="A2" s="195"/>
      <c r="B2" s="195"/>
      <c r="C2" s="195"/>
      <c r="D2" s="195"/>
      <c r="E2" s="195"/>
      <c r="F2" s="195"/>
      <c r="G2" s="195"/>
      <c r="H2" s="195"/>
      <c r="I2" s="195"/>
      <c r="J2" s="195"/>
      <c r="K2" s="195"/>
      <c r="L2" s="195"/>
      <c r="M2" s="195"/>
      <c r="N2" s="195"/>
      <c r="O2" s="195"/>
      <c r="P2" s="195"/>
      <c r="Q2" s="195"/>
    </row>
    <row r="3" spans="1:17" x14ac:dyDescent="0.25">
      <c r="A3" s="195"/>
      <c r="B3" s="195"/>
      <c r="C3" s="195"/>
      <c r="D3" s="195"/>
      <c r="E3" s="195"/>
      <c r="F3" s="195"/>
      <c r="G3" s="195"/>
      <c r="H3" s="195"/>
      <c r="I3" s="195"/>
      <c r="J3" s="195"/>
      <c r="K3" s="195"/>
      <c r="L3" s="195"/>
      <c r="M3" s="195"/>
      <c r="N3" s="195"/>
      <c r="O3" s="195"/>
      <c r="P3" s="195"/>
      <c r="Q3" s="195"/>
    </row>
    <row r="4" spans="1:17" x14ac:dyDescent="0.25">
      <c r="A4" s="195"/>
      <c r="B4" s="195"/>
      <c r="C4" s="195"/>
      <c r="D4" s="195"/>
      <c r="E4" s="195"/>
      <c r="F4" s="195"/>
      <c r="G4" s="195"/>
      <c r="H4" s="195"/>
      <c r="I4" s="195"/>
      <c r="J4" s="195"/>
      <c r="K4" s="195"/>
      <c r="L4" s="195"/>
      <c r="M4" s="195"/>
      <c r="N4" s="195"/>
      <c r="O4" s="195"/>
      <c r="P4" s="195"/>
      <c r="Q4" s="195"/>
    </row>
    <row r="5" spans="1:17" x14ac:dyDescent="0.25">
      <c r="A5" s="195"/>
      <c r="B5" s="195"/>
      <c r="C5" s="195"/>
      <c r="D5" s="195"/>
      <c r="E5" s="195"/>
      <c r="F5" s="195"/>
      <c r="G5" s="195"/>
      <c r="H5" s="195"/>
      <c r="I5" s="195"/>
      <c r="J5" s="195"/>
      <c r="K5" s="195"/>
      <c r="L5" s="195"/>
      <c r="M5" s="195"/>
      <c r="N5" s="195"/>
      <c r="O5" s="195"/>
      <c r="P5" s="195"/>
      <c r="Q5" s="195"/>
    </row>
    <row r="6" spans="1:17" ht="36" x14ac:dyDescent="0.55000000000000004">
      <c r="A6" s="195"/>
      <c r="B6" s="197" t="s">
        <v>285</v>
      </c>
      <c r="C6" s="198"/>
      <c r="D6" s="195"/>
      <c r="E6" s="195"/>
      <c r="F6" s="195"/>
      <c r="G6" s="195"/>
      <c r="H6" s="195"/>
      <c r="I6" s="195"/>
      <c r="J6" s="195"/>
      <c r="K6" s="195"/>
      <c r="L6" s="195"/>
      <c r="M6" s="195"/>
      <c r="N6" s="195"/>
      <c r="O6" s="195"/>
      <c r="P6" s="195"/>
      <c r="Q6" s="195"/>
    </row>
    <row r="7" spans="1:17" x14ac:dyDescent="0.25">
      <c r="A7" s="195"/>
      <c r="B7" s="199" t="s">
        <v>386</v>
      </c>
      <c r="C7" s="199"/>
      <c r="D7" s="195"/>
      <c r="E7" s="195"/>
      <c r="F7" s="195"/>
      <c r="G7" s="195"/>
      <c r="H7" s="195"/>
      <c r="I7" s="195"/>
      <c r="J7" s="195"/>
      <c r="K7" s="195"/>
      <c r="L7" s="195"/>
      <c r="M7" s="195"/>
      <c r="N7" s="195"/>
      <c r="O7" s="195"/>
      <c r="P7" s="195"/>
      <c r="Q7" s="195"/>
    </row>
    <row r="8" spans="1:17" x14ac:dyDescent="0.25">
      <c r="A8" s="195"/>
      <c r="B8" s="199" t="s">
        <v>418</v>
      </c>
      <c r="C8" s="199"/>
      <c r="D8" s="195"/>
      <c r="E8" s="195"/>
      <c r="F8" s="195"/>
      <c r="G8" s="195"/>
      <c r="H8" s="195"/>
      <c r="I8" s="195"/>
      <c r="J8" s="195"/>
      <c r="K8" s="195"/>
      <c r="L8" s="195"/>
      <c r="M8" s="195"/>
      <c r="N8" s="195"/>
      <c r="O8" s="195"/>
      <c r="P8" s="195"/>
      <c r="Q8" s="195"/>
    </row>
    <row r="9" spans="1:17" ht="18.75" x14ac:dyDescent="0.3">
      <c r="A9" s="195"/>
      <c r="B9" s="200"/>
      <c r="C9" s="200"/>
      <c r="D9" s="195"/>
      <c r="E9" s="201"/>
      <c r="F9" s="195"/>
      <c r="G9" s="195"/>
      <c r="H9" s="195"/>
      <c r="I9" s="195"/>
      <c r="J9" s="195"/>
      <c r="K9" s="195"/>
      <c r="L9" s="195"/>
      <c r="M9" s="195"/>
      <c r="N9" s="195"/>
      <c r="O9" s="195"/>
      <c r="P9" s="195"/>
      <c r="Q9" s="195"/>
    </row>
    <row r="10" spans="1:17" ht="19.5" thickBot="1" x14ac:dyDescent="0.35">
      <c r="A10" s="195"/>
      <c r="B10" s="202" t="s">
        <v>190</v>
      </c>
      <c r="C10" s="203"/>
      <c r="D10" s="195"/>
      <c r="E10" s="195"/>
      <c r="F10" s="195"/>
      <c r="G10" s="195"/>
      <c r="H10" s="195"/>
      <c r="I10" s="195"/>
      <c r="J10" s="195"/>
      <c r="K10" s="195"/>
      <c r="L10" s="195"/>
      <c r="M10" s="195"/>
      <c r="N10" s="195"/>
      <c r="O10" s="195"/>
      <c r="P10" s="195"/>
      <c r="Q10" s="195"/>
    </row>
    <row r="11" spans="1:17" ht="15.75" thickBot="1" x14ac:dyDescent="0.3">
      <c r="A11" s="195"/>
      <c r="B11" s="204" t="s">
        <v>185</v>
      </c>
      <c r="C11" s="205">
        <f>Calculation!O6</f>
        <v>0</v>
      </c>
      <c r="D11" s="195"/>
      <c r="E11" s="195"/>
      <c r="F11" s="195"/>
      <c r="G11" s="195"/>
      <c r="H11" s="195"/>
      <c r="I11" s="195"/>
      <c r="J11" s="195"/>
      <c r="K11" s="195"/>
      <c r="L11" s="195"/>
      <c r="M11" s="195"/>
      <c r="N11" s="195"/>
      <c r="O11" s="195"/>
      <c r="P11" s="195"/>
      <c r="Q11" s="195"/>
    </row>
    <row r="12" spans="1:17" ht="15.75" thickBot="1" x14ac:dyDescent="0.3">
      <c r="A12" s="195"/>
      <c r="B12" s="204" t="s">
        <v>98</v>
      </c>
      <c r="C12" s="205">
        <f>Calculation!O7</f>
        <v>0</v>
      </c>
      <c r="D12" s="195"/>
      <c r="E12" s="206"/>
      <c r="F12" s="195"/>
      <c r="G12" s="195"/>
      <c r="H12" s="195"/>
      <c r="I12" s="195"/>
      <c r="J12" s="195"/>
      <c r="K12" s="195"/>
      <c r="L12" s="195"/>
      <c r="M12" s="195"/>
      <c r="N12" s="195"/>
      <c r="O12" s="195"/>
      <c r="P12" s="195"/>
      <c r="Q12" s="195"/>
    </row>
    <row r="13" spans="1:17" ht="15.75" thickBot="1" x14ac:dyDescent="0.3">
      <c r="A13" s="195"/>
      <c r="B13" s="204" t="s">
        <v>38</v>
      </c>
      <c r="C13" s="205">
        <f>Calculation!O8</f>
        <v>0</v>
      </c>
      <c r="D13" s="195"/>
      <c r="E13" s="195"/>
      <c r="F13" s="195"/>
      <c r="G13" s="195"/>
      <c r="H13" s="195"/>
      <c r="I13" s="195"/>
      <c r="J13" s="195"/>
      <c r="K13" s="195"/>
      <c r="L13" s="195"/>
      <c r="M13" s="195"/>
      <c r="N13" s="195"/>
      <c r="O13" s="195"/>
      <c r="P13" s="195"/>
      <c r="Q13" s="195"/>
    </row>
    <row r="14" spans="1:17" ht="15.75" thickBot="1" x14ac:dyDescent="0.3">
      <c r="A14" s="195"/>
      <c r="B14" s="204" t="s">
        <v>39</v>
      </c>
      <c r="C14" s="205">
        <f>Calculation!O54</f>
        <v>0</v>
      </c>
      <c r="D14" s="195"/>
      <c r="E14" s="195"/>
      <c r="F14" s="195"/>
      <c r="G14" s="195"/>
      <c r="H14" s="195"/>
      <c r="I14" s="195"/>
      <c r="J14" s="195"/>
      <c r="K14" s="195"/>
      <c r="L14" s="195"/>
      <c r="M14" s="195"/>
      <c r="N14" s="195"/>
      <c r="O14" s="195"/>
      <c r="P14" s="195"/>
      <c r="Q14" s="195"/>
    </row>
    <row r="15" spans="1:17" ht="15.75" thickBot="1" x14ac:dyDescent="0.3">
      <c r="A15" s="195"/>
      <c r="B15" s="207" t="s">
        <v>14</v>
      </c>
      <c r="C15" s="208">
        <f>SUM(C11:C14)</f>
        <v>0</v>
      </c>
      <c r="D15" s="195"/>
      <c r="E15" s="195"/>
      <c r="F15" s="195"/>
      <c r="G15" s="195"/>
      <c r="H15" s="195"/>
      <c r="I15" s="195"/>
      <c r="J15" s="195"/>
      <c r="K15" s="195"/>
      <c r="L15" s="195"/>
      <c r="M15" s="195"/>
      <c r="N15" s="195"/>
      <c r="O15" s="195"/>
      <c r="P15" s="195"/>
      <c r="Q15" s="195"/>
    </row>
    <row r="16" spans="1:17" x14ac:dyDescent="0.25">
      <c r="A16" s="195"/>
      <c r="B16" s="200"/>
      <c r="C16" s="209"/>
      <c r="D16" s="195"/>
      <c r="E16" s="195"/>
      <c r="F16" s="195"/>
      <c r="G16" s="195"/>
      <c r="H16" s="195"/>
      <c r="I16" s="195"/>
      <c r="J16" s="195"/>
      <c r="K16" s="195"/>
      <c r="L16" s="195"/>
      <c r="M16" s="195"/>
      <c r="N16" s="195"/>
      <c r="O16" s="195"/>
      <c r="P16" s="195"/>
      <c r="Q16" s="195"/>
    </row>
    <row r="17" spans="1:17" ht="19.5" thickBot="1" x14ac:dyDescent="0.35">
      <c r="A17" s="195"/>
      <c r="B17" s="202" t="s">
        <v>292</v>
      </c>
      <c r="C17" s="210"/>
      <c r="D17" s="195"/>
      <c r="E17" s="195"/>
      <c r="F17" s="195"/>
      <c r="G17" s="195"/>
      <c r="H17" s="195"/>
      <c r="I17" s="195"/>
      <c r="J17" s="195"/>
      <c r="K17" s="195"/>
      <c r="L17" s="195"/>
      <c r="M17" s="195"/>
      <c r="N17" s="195"/>
      <c r="O17" s="195"/>
      <c r="P17" s="195"/>
      <c r="Q17" s="195"/>
    </row>
    <row r="18" spans="1:17" ht="15.75" thickBot="1" x14ac:dyDescent="0.3">
      <c r="A18" s="195"/>
      <c r="B18" s="204" t="s">
        <v>103</v>
      </c>
      <c r="C18" s="205">
        <f>SUM(Calculation!O36:O38)</f>
        <v>0</v>
      </c>
      <c r="D18" s="195"/>
      <c r="E18" s="195"/>
      <c r="F18" s="195"/>
      <c r="G18" s="195"/>
      <c r="H18" s="195"/>
      <c r="I18" s="195"/>
      <c r="J18" s="195"/>
      <c r="K18" s="195"/>
      <c r="L18" s="195"/>
      <c r="M18" s="195"/>
      <c r="N18" s="195"/>
      <c r="O18" s="195"/>
      <c r="P18" s="195"/>
      <c r="Q18" s="195"/>
    </row>
    <row r="19" spans="1:17" ht="15.75" thickBot="1" x14ac:dyDescent="0.3">
      <c r="A19" s="195"/>
      <c r="B19" s="204" t="s">
        <v>73</v>
      </c>
      <c r="C19" s="205">
        <f>SUM(Calculation!O9:O10)</f>
        <v>0</v>
      </c>
      <c r="D19" s="195"/>
      <c r="E19" s="195"/>
      <c r="F19" s="195"/>
      <c r="G19" s="195"/>
      <c r="H19" s="195"/>
      <c r="I19" s="195"/>
      <c r="J19" s="195"/>
      <c r="K19" s="195"/>
      <c r="L19" s="195"/>
      <c r="M19" s="195"/>
      <c r="N19" s="195"/>
      <c r="O19" s="195"/>
      <c r="P19" s="195"/>
      <c r="Q19" s="195"/>
    </row>
    <row r="20" spans="1:17" ht="15.75" thickBot="1" x14ac:dyDescent="0.3">
      <c r="A20" s="195"/>
      <c r="B20" s="204" t="s">
        <v>74</v>
      </c>
      <c r="C20" s="205">
        <f>SUM(Calculation!O11:O12)</f>
        <v>0</v>
      </c>
      <c r="D20" s="195"/>
      <c r="E20" s="195"/>
      <c r="F20" s="195"/>
      <c r="G20" s="195"/>
      <c r="H20" s="195"/>
      <c r="I20" s="195"/>
      <c r="J20" s="195"/>
      <c r="K20" s="195"/>
      <c r="L20" s="195"/>
      <c r="M20" s="195"/>
      <c r="N20" s="195"/>
      <c r="O20" s="195"/>
      <c r="P20" s="195"/>
      <c r="Q20" s="195"/>
    </row>
    <row r="21" spans="1:17" ht="15.75" thickBot="1" x14ac:dyDescent="0.3">
      <c r="A21" s="195"/>
      <c r="B21" s="204" t="s">
        <v>76</v>
      </c>
      <c r="C21" s="205">
        <f>Calculation!O13</f>
        <v>0</v>
      </c>
      <c r="D21" s="195"/>
      <c r="E21" s="195"/>
      <c r="F21" s="195"/>
      <c r="G21" s="195"/>
      <c r="H21" s="195"/>
      <c r="I21" s="195"/>
      <c r="J21" s="195"/>
      <c r="K21" s="195"/>
      <c r="L21" s="195"/>
      <c r="M21" s="195"/>
      <c r="N21" s="195"/>
      <c r="O21" s="195"/>
      <c r="P21" s="195"/>
      <c r="Q21" s="195"/>
    </row>
    <row r="22" spans="1:17" ht="15.75" thickBot="1" x14ac:dyDescent="0.3">
      <c r="A22" s="195"/>
      <c r="B22" s="204" t="s">
        <v>78</v>
      </c>
      <c r="C22" s="205">
        <f>SUM(Calculation!O14:O15)</f>
        <v>0</v>
      </c>
      <c r="D22" s="195"/>
      <c r="E22" s="195"/>
      <c r="F22" s="195"/>
      <c r="G22" s="195"/>
      <c r="H22" s="195"/>
      <c r="I22" s="195"/>
      <c r="J22" s="195"/>
      <c r="K22" s="195"/>
      <c r="L22" s="195"/>
      <c r="M22" s="195"/>
      <c r="N22" s="195"/>
      <c r="O22" s="195"/>
      <c r="P22" s="195"/>
      <c r="Q22" s="195"/>
    </row>
    <row r="23" spans="1:17" ht="15.75" thickBot="1" x14ac:dyDescent="0.3">
      <c r="A23" s="195"/>
      <c r="B23" s="204" t="s">
        <v>81</v>
      </c>
      <c r="C23" s="205">
        <f>Calculation!O16</f>
        <v>0</v>
      </c>
      <c r="D23" s="195"/>
      <c r="E23" s="195"/>
      <c r="F23" s="195"/>
      <c r="G23" s="195"/>
      <c r="H23" s="195"/>
      <c r="I23" s="195"/>
      <c r="J23" s="195"/>
      <c r="K23" s="195"/>
      <c r="L23" s="195"/>
      <c r="M23" s="195"/>
      <c r="N23" s="195"/>
      <c r="O23" s="195"/>
      <c r="P23" s="195"/>
      <c r="Q23" s="195"/>
    </row>
    <row r="24" spans="1:17" ht="15.75" thickBot="1" x14ac:dyDescent="0.3">
      <c r="A24" s="195"/>
      <c r="B24" s="204" t="s">
        <v>8</v>
      </c>
      <c r="C24" s="205">
        <f>SUM(Calculation!O17:O18)</f>
        <v>0</v>
      </c>
      <c r="D24" s="195"/>
      <c r="E24" s="195"/>
      <c r="F24" s="195"/>
      <c r="G24" s="195"/>
      <c r="H24" s="195"/>
      <c r="I24" s="195"/>
      <c r="J24" s="195"/>
      <c r="K24" s="195"/>
      <c r="L24" s="195"/>
      <c r="M24" s="195"/>
      <c r="N24" s="195"/>
      <c r="O24" s="195"/>
      <c r="P24" s="195"/>
      <c r="Q24" s="195"/>
    </row>
    <row r="25" spans="1:17" ht="15.75" thickBot="1" x14ac:dyDescent="0.3">
      <c r="A25" s="195"/>
      <c r="B25" s="204" t="s">
        <v>9</v>
      </c>
      <c r="C25" s="205">
        <f>SUM(Calculation!O35,Calculation!O19)</f>
        <v>0</v>
      </c>
      <c r="D25" s="195"/>
      <c r="E25" s="195"/>
      <c r="F25" s="195"/>
      <c r="G25" s="195"/>
      <c r="H25" s="195"/>
      <c r="I25" s="195"/>
      <c r="J25" s="195"/>
      <c r="K25" s="195"/>
      <c r="L25" s="195"/>
      <c r="M25" s="195"/>
      <c r="N25" s="195"/>
      <c r="O25" s="195"/>
      <c r="P25" s="195"/>
      <c r="Q25" s="195"/>
    </row>
    <row r="26" spans="1:17" ht="15.75" thickBot="1" x14ac:dyDescent="0.3">
      <c r="A26" s="195"/>
      <c r="B26" s="204" t="s">
        <v>84</v>
      </c>
      <c r="C26" s="205">
        <f>SUM(Calculation!O20:O23)</f>
        <v>0</v>
      </c>
      <c r="D26" s="195"/>
      <c r="E26" s="195"/>
      <c r="F26" s="195"/>
      <c r="G26" s="195"/>
      <c r="H26" s="195"/>
      <c r="I26" s="195"/>
      <c r="J26" s="195"/>
      <c r="K26" s="195"/>
      <c r="L26" s="195"/>
      <c r="M26" s="195"/>
      <c r="N26" s="195"/>
      <c r="O26" s="195"/>
      <c r="P26" s="195"/>
      <c r="Q26" s="195"/>
    </row>
    <row r="27" spans="1:17" ht="15.75" thickBot="1" x14ac:dyDescent="0.3">
      <c r="A27" s="195"/>
      <c r="B27" s="204" t="s">
        <v>89</v>
      </c>
      <c r="C27" s="205">
        <f>SUM(Calculation!O24:O25)</f>
        <v>0</v>
      </c>
      <c r="D27" s="195"/>
      <c r="E27" s="195"/>
      <c r="F27" s="195"/>
      <c r="G27" s="195"/>
      <c r="H27" s="195"/>
      <c r="I27" s="195"/>
      <c r="J27" s="195"/>
      <c r="K27" s="195"/>
      <c r="L27" s="195"/>
      <c r="M27" s="195"/>
      <c r="N27" s="195"/>
      <c r="O27" s="195"/>
      <c r="P27" s="195"/>
      <c r="Q27" s="195"/>
    </row>
    <row r="28" spans="1:17" ht="15.75" thickBot="1" x14ac:dyDescent="0.3">
      <c r="A28" s="195"/>
      <c r="B28" s="204" t="s">
        <v>93</v>
      </c>
      <c r="C28" s="205">
        <f>SUM(Calculation!O26:O29)</f>
        <v>0</v>
      </c>
      <c r="D28" s="195"/>
      <c r="E28" s="195"/>
      <c r="F28" s="195"/>
      <c r="G28" s="195"/>
      <c r="H28" s="195"/>
      <c r="I28" s="195"/>
      <c r="J28" s="195"/>
      <c r="K28" s="195"/>
      <c r="L28" s="195"/>
      <c r="M28" s="195"/>
      <c r="N28" s="195"/>
      <c r="O28" s="195"/>
      <c r="P28" s="195"/>
      <c r="Q28" s="195"/>
    </row>
    <row r="29" spans="1:17" ht="15.75" thickBot="1" x14ac:dyDescent="0.3">
      <c r="A29" s="195"/>
      <c r="B29" s="204" t="s">
        <v>94</v>
      </c>
      <c r="C29" s="205">
        <f>Calculation!O30</f>
        <v>0</v>
      </c>
      <c r="D29" s="195"/>
      <c r="E29" s="195"/>
      <c r="F29" s="195"/>
      <c r="G29" s="195"/>
      <c r="H29" s="195"/>
      <c r="I29" s="195"/>
      <c r="J29" s="195"/>
      <c r="K29" s="195"/>
      <c r="L29" s="195"/>
      <c r="M29" s="195"/>
      <c r="N29" s="195"/>
      <c r="O29" s="195"/>
      <c r="P29" s="195"/>
      <c r="Q29" s="195"/>
    </row>
    <row r="30" spans="1:17" ht="15.75" thickBot="1" x14ac:dyDescent="0.3">
      <c r="A30" s="195"/>
      <c r="B30" s="204" t="s">
        <v>97</v>
      </c>
      <c r="C30" s="205">
        <f>SUM(Calculation!O31:O32)</f>
        <v>0</v>
      </c>
      <c r="D30" s="195"/>
      <c r="E30" s="195"/>
      <c r="F30" s="195"/>
      <c r="G30" s="195"/>
      <c r="H30" s="195"/>
      <c r="I30" s="195"/>
      <c r="J30" s="195"/>
      <c r="K30" s="195"/>
      <c r="L30" s="195"/>
      <c r="M30" s="195"/>
      <c r="N30" s="195"/>
      <c r="O30" s="195"/>
      <c r="P30" s="195"/>
      <c r="Q30" s="195"/>
    </row>
    <row r="31" spans="1:17" ht="15.75" thickBot="1" x14ac:dyDescent="0.3">
      <c r="A31" s="195"/>
      <c r="B31" s="204" t="s">
        <v>10</v>
      </c>
      <c r="C31" s="205">
        <f>SUM(Calculation!O33:O34)</f>
        <v>0</v>
      </c>
      <c r="D31" s="195"/>
      <c r="E31" s="195"/>
      <c r="F31" s="195"/>
      <c r="G31" s="195"/>
      <c r="H31" s="195"/>
      <c r="I31" s="195"/>
      <c r="J31" s="195"/>
      <c r="K31" s="195"/>
      <c r="L31" s="195"/>
      <c r="M31" s="195"/>
      <c r="N31" s="195"/>
      <c r="O31" s="195"/>
      <c r="P31" s="195"/>
      <c r="Q31" s="195"/>
    </row>
    <row r="32" spans="1:17" ht="15.75" thickBot="1" x14ac:dyDescent="0.3">
      <c r="A32" s="195"/>
      <c r="B32" s="204" t="s">
        <v>57</v>
      </c>
      <c r="C32" s="205">
        <f>Calculation!O42</f>
        <v>0</v>
      </c>
      <c r="D32" s="195"/>
      <c r="E32" s="195"/>
      <c r="F32" s="195"/>
      <c r="G32" s="195"/>
      <c r="H32" s="195"/>
      <c r="I32" s="195"/>
      <c r="J32" s="195"/>
      <c r="K32" s="195"/>
      <c r="L32" s="195"/>
      <c r="M32" s="195"/>
      <c r="N32" s="195"/>
      <c r="O32" s="195"/>
      <c r="P32" s="195"/>
      <c r="Q32" s="195"/>
    </row>
    <row r="33" spans="1:17" ht="15.75" thickBot="1" x14ac:dyDescent="0.3">
      <c r="A33" s="195"/>
      <c r="B33" s="204" t="s">
        <v>51</v>
      </c>
      <c r="C33" s="205">
        <f>SUM(Calculation!O43:O48)</f>
        <v>0</v>
      </c>
      <c r="D33" s="195"/>
      <c r="E33" s="195"/>
      <c r="F33" s="195"/>
      <c r="G33" s="195"/>
      <c r="H33" s="195"/>
      <c r="I33" s="195"/>
      <c r="J33" s="195"/>
      <c r="K33" s="195"/>
      <c r="L33" s="195"/>
      <c r="M33" s="195"/>
      <c r="N33" s="195"/>
      <c r="O33" s="195"/>
      <c r="P33" s="195"/>
      <c r="Q33" s="195"/>
    </row>
    <row r="34" spans="1:17" ht="15.75" thickBot="1" x14ac:dyDescent="0.3">
      <c r="A34" s="195"/>
      <c r="B34" s="204" t="s">
        <v>186</v>
      </c>
      <c r="C34" s="205">
        <f>SUM(Calculation!O55:O56)</f>
        <v>0</v>
      </c>
      <c r="D34" s="195"/>
      <c r="E34" s="195"/>
      <c r="F34" s="195"/>
      <c r="G34" s="195"/>
      <c r="H34" s="195"/>
      <c r="I34" s="195"/>
      <c r="J34" s="195"/>
      <c r="K34" s="195"/>
      <c r="L34" s="195"/>
      <c r="M34" s="195"/>
      <c r="N34" s="195"/>
      <c r="O34" s="195"/>
      <c r="P34" s="195"/>
      <c r="Q34" s="195"/>
    </row>
    <row r="35" spans="1:17" ht="15.75" thickBot="1" x14ac:dyDescent="0.3">
      <c r="A35" s="195"/>
      <c r="B35" s="207" t="s">
        <v>14</v>
      </c>
      <c r="C35" s="208">
        <f>SUM(C18:C34)</f>
        <v>0</v>
      </c>
      <c r="D35" s="195"/>
      <c r="E35" s="195"/>
      <c r="F35" s="195"/>
      <c r="G35" s="195"/>
      <c r="H35" s="195"/>
      <c r="I35" s="195"/>
      <c r="J35" s="195"/>
      <c r="K35" s="195"/>
      <c r="L35" s="195"/>
      <c r="M35" s="195"/>
      <c r="N35" s="195"/>
      <c r="O35" s="195"/>
      <c r="P35" s="195"/>
      <c r="Q35" s="195"/>
    </row>
    <row r="36" spans="1:17" x14ac:dyDescent="0.25">
      <c r="A36" s="195"/>
      <c r="B36" s="200"/>
      <c r="C36" s="209"/>
      <c r="D36" s="195"/>
      <c r="E36" s="195"/>
      <c r="F36" s="195"/>
      <c r="G36" s="195"/>
      <c r="H36" s="195"/>
      <c r="I36" s="195"/>
      <c r="J36" s="195"/>
      <c r="K36" s="195"/>
      <c r="L36" s="195"/>
      <c r="M36" s="195"/>
      <c r="N36" s="195"/>
      <c r="O36" s="195"/>
      <c r="P36" s="195"/>
      <c r="Q36" s="195"/>
    </row>
    <row r="37" spans="1:17" ht="19.5" thickBot="1" x14ac:dyDescent="0.35">
      <c r="A37" s="195"/>
      <c r="B37" s="202" t="s">
        <v>291</v>
      </c>
      <c r="C37" s="210"/>
      <c r="D37" s="195"/>
      <c r="E37" s="195"/>
      <c r="F37" s="195"/>
      <c r="G37" s="195"/>
      <c r="H37" s="195"/>
      <c r="I37" s="195"/>
      <c r="J37" s="195"/>
      <c r="K37" s="195"/>
      <c r="L37" s="195"/>
      <c r="M37" s="195"/>
      <c r="N37" s="195"/>
      <c r="O37" s="195"/>
      <c r="P37" s="195"/>
      <c r="Q37" s="195"/>
    </row>
    <row r="38" spans="1:17" ht="15.75" thickBot="1" x14ac:dyDescent="0.3">
      <c r="A38" s="195"/>
      <c r="B38" s="204" t="s">
        <v>11</v>
      </c>
      <c r="C38" s="205">
        <f>Calculation!O39</f>
        <v>0</v>
      </c>
      <c r="D38" s="195"/>
      <c r="E38" s="195"/>
      <c r="F38" s="195"/>
      <c r="G38" s="195"/>
      <c r="H38" s="195"/>
      <c r="I38" s="195"/>
      <c r="J38" s="195"/>
      <c r="K38" s="195"/>
      <c r="L38" s="195"/>
      <c r="M38" s="195"/>
      <c r="N38" s="195"/>
      <c r="O38" s="195"/>
      <c r="P38" s="195"/>
      <c r="Q38" s="195"/>
    </row>
    <row r="39" spans="1:17" ht="15.75" thickBot="1" x14ac:dyDescent="0.3">
      <c r="A39" s="195"/>
      <c r="B39" s="204" t="s">
        <v>12</v>
      </c>
      <c r="C39" s="205">
        <f>Calculation!O40</f>
        <v>0</v>
      </c>
      <c r="D39" s="195"/>
      <c r="E39" s="195"/>
      <c r="F39" s="195"/>
      <c r="G39" s="195"/>
      <c r="H39" s="195"/>
      <c r="I39" s="195"/>
      <c r="J39" s="195"/>
      <c r="K39" s="195"/>
      <c r="L39" s="195"/>
      <c r="M39" s="195"/>
      <c r="N39" s="195"/>
      <c r="O39" s="195"/>
      <c r="P39" s="195"/>
      <c r="Q39" s="195"/>
    </row>
    <row r="40" spans="1:17" ht="15.75" thickBot="1" x14ac:dyDescent="0.3">
      <c r="A40" s="195"/>
      <c r="B40" s="204" t="s">
        <v>13</v>
      </c>
      <c r="C40" s="205">
        <f>Calculation!O41</f>
        <v>0</v>
      </c>
      <c r="D40" s="195"/>
      <c r="E40" s="195"/>
      <c r="F40" s="195"/>
      <c r="G40" s="195"/>
      <c r="H40" s="195"/>
      <c r="I40" s="195"/>
      <c r="J40" s="195"/>
      <c r="K40" s="195"/>
      <c r="L40" s="195"/>
      <c r="M40" s="195"/>
      <c r="N40" s="195"/>
      <c r="O40" s="195"/>
      <c r="P40" s="195"/>
      <c r="Q40" s="195"/>
    </row>
    <row r="41" spans="1:17" ht="15.75" thickBot="1" x14ac:dyDescent="0.3">
      <c r="A41" s="195"/>
      <c r="B41" s="207" t="s">
        <v>14</v>
      </c>
      <c r="C41" s="208">
        <f>SUM(C38:C40)</f>
        <v>0</v>
      </c>
      <c r="D41" s="195"/>
      <c r="E41" s="195"/>
      <c r="F41" s="195"/>
      <c r="G41" s="195"/>
      <c r="H41" s="195"/>
      <c r="I41" s="195"/>
      <c r="J41" s="195"/>
      <c r="K41" s="195"/>
      <c r="L41" s="195"/>
      <c r="M41" s="195"/>
      <c r="N41" s="195"/>
      <c r="O41" s="195"/>
      <c r="P41" s="195"/>
      <c r="Q41" s="195"/>
    </row>
    <row r="42" spans="1:17" x14ac:dyDescent="0.25">
      <c r="A42" s="195"/>
      <c r="B42" s="211"/>
      <c r="C42" s="212"/>
      <c r="D42" s="195"/>
      <c r="E42" s="195"/>
      <c r="F42" s="195"/>
      <c r="G42" s="195"/>
      <c r="H42" s="195"/>
      <c r="I42" s="195"/>
      <c r="J42" s="195"/>
      <c r="K42" s="195"/>
      <c r="L42" s="195"/>
      <c r="M42" s="195"/>
      <c r="N42" s="195"/>
      <c r="O42" s="195"/>
      <c r="P42" s="195"/>
      <c r="Q42" s="195"/>
    </row>
    <row r="43" spans="1:17" ht="19.5" thickBot="1" x14ac:dyDescent="0.35">
      <c r="A43" s="195"/>
      <c r="B43" s="202" t="s">
        <v>187</v>
      </c>
      <c r="C43" s="210"/>
      <c r="D43" s="195"/>
      <c r="E43" s="195"/>
      <c r="F43" s="195"/>
      <c r="G43" s="195"/>
      <c r="H43" s="195"/>
      <c r="I43" s="195"/>
      <c r="J43" s="195"/>
      <c r="K43" s="195"/>
      <c r="L43" s="195"/>
      <c r="M43" s="195"/>
      <c r="N43" s="195"/>
      <c r="O43" s="195"/>
      <c r="P43" s="195"/>
      <c r="Q43" s="195"/>
    </row>
    <row r="44" spans="1:17" ht="15.75" thickBot="1" x14ac:dyDescent="0.3">
      <c r="A44" s="195"/>
      <c r="B44" s="204" t="s">
        <v>1</v>
      </c>
      <c r="C44" s="205">
        <f>Calculation!O49+Calculation!O50</f>
        <v>0</v>
      </c>
      <c r="D44" s="195"/>
      <c r="E44" s="195"/>
      <c r="F44" s="195"/>
      <c r="G44" s="195"/>
      <c r="H44" s="195"/>
      <c r="I44" s="195"/>
      <c r="J44" s="195"/>
      <c r="K44" s="195"/>
      <c r="L44" s="195"/>
      <c r="M44" s="195"/>
      <c r="N44" s="195"/>
      <c r="O44" s="195"/>
      <c r="P44" s="195"/>
      <c r="Q44" s="195"/>
    </row>
    <row r="45" spans="1:17" ht="15.75" thickBot="1" x14ac:dyDescent="0.3">
      <c r="A45" s="195"/>
      <c r="B45" s="204" t="s">
        <v>293</v>
      </c>
      <c r="C45" s="205">
        <f>Calculation!O51+Calculation!O52+Calculation!O57</f>
        <v>0</v>
      </c>
      <c r="D45" s="195"/>
      <c r="E45" s="195"/>
      <c r="F45" s="195"/>
      <c r="G45" s="195"/>
      <c r="H45" s="195"/>
      <c r="I45" s="195"/>
      <c r="J45" s="195"/>
      <c r="K45" s="195"/>
      <c r="L45" s="195"/>
      <c r="M45" s="195"/>
      <c r="N45" s="195"/>
      <c r="O45" s="195"/>
      <c r="P45" s="195"/>
      <c r="Q45" s="195"/>
    </row>
    <row r="46" spans="1:17" ht="15.75" thickBot="1" x14ac:dyDescent="0.3">
      <c r="A46" s="195"/>
      <c r="B46" s="204" t="s">
        <v>294</v>
      </c>
      <c r="C46" s="205">
        <f>Calculation!O53</f>
        <v>0</v>
      </c>
      <c r="D46" s="195"/>
      <c r="E46" s="195"/>
      <c r="F46" s="195"/>
      <c r="G46" s="195"/>
      <c r="H46" s="195"/>
      <c r="I46" s="195"/>
      <c r="J46" s="195"/>
      <c r="K46" s="195"/>
      <c r="L46" s="195"/>
      <c r="M46" s="195"/>
      <c r="N46" s="195"/>
      <c r="O46" s="195"/>
      <c r="P46" s="195"/>
      <c r="Q46" s="195"/>
    </row>
    <row r="47" spans="1:17" ht="15.75" thickBot="1" x14ac:dyDescent="0.3">
      <c r="A47" s="195"/>
      <c r="B47" s="204" t="s">
        <v>120</v>
      </c>
      <c r="C47" s="205">
        <f>Calculation!O58</f>
        <v>0</v>
      </c>
      <c r="D47" s="195"/>
      <c r="E47" s="195"/>
      <c r="F47" s="195"/>
      <c r="G47" s="195"/>
      <c r="H47" s="195"/>
      <c r="I47" s="195"/>
      <c r="J47" s="195"/>
      <c r="K47" s="195"/>
      <c r="L47" s="195"/>
      <c r="M47" s="195"/>
      <c r="N47" s="195"/>
      <c r="O47" s="195"/>
      <c r="P47" s="195"/>
      <c r="Q47" s="195"/>
    </row>
    <row r="48" spans="1:17" ht="15.75" thickBot="1" x14ac:dyDescent="0.3">
      <c r="A48" s="195"/>
      <c r="B48" s="204" t="s">
        <v>295</v>
      </c>
      <c r="C48" s="205">
        <f>SUM(Calculation!O65:O66)</f>
        <v>0</v>
      </c>
      <c r="D48" s="195"/>
      <c r="E48" s="195"/>
      <c r="F48" s="195"/>
      <c r="G48" s="195"/>
      <c r="H48" s="195"/>
      <c r="I48" s="195"/>
      <c r="J48" s="195"/>
      <c r="K48" s="195"/>
      <c r="L48" s="195"/>
      <c r="M48" s="195"/>
      <c r="N48" s="195"/>
      <c r="O48" s="195"/>
      <c r="P48" s="195"/>
      <c r="Q48" s="195"/>
    </row>
    <row r="49" spans="1:17" ht="15.75" thickBot="1" x14ac:dyDescent="0.3">
      <c r="A49" s="195"/>
      <c r="B49" s="204" t="s">
        <v>296</v>
      </c>
      <c r="C49" s="205">
        <f>Calculation!O67</f>
        <v>0</v>
      </c>
      <c r="D49" s="195"/>
      <c r="E49" s="195"/>
      <c r="F49" s="195"/>
      <c r="G49" s="195"/>
      <c r="H49" s="195"/>
      <c r="I49" s="195"/>
      <c r="J49" s="195"/>
      <c r="K49" s="195"/>
      <c r="L49" s="195"/>
      <c r="M49" s="195"/>
      <c r="N49" s="195"/>
      <c r="O49" s="195"/>
      <c r="P49" s="195"/>
      <c r="Q49" s="195"/>
    </row>
    <row r="50" spans="1:17" ht="15.75" thickBot="1" x14ac:dyDescent="0.3">
      <c r="A50" s="195"/>
      <c r="B50" s="207" t="s">
        <v>14</v>
      </c>
      <c r="C50" s="208">
        <f>SUM(C44:C49)</f>
        <v>0</v>
      </c>
      <c r="D50" s="195"/>
      <c r="E50" s="195"/>
      <c r="F50" s="195"/>
      <c r="G50" s="195"/>
      <c r="H50" s="195"/>
      <c r="I50" s="195"/>
      <c r="J50" s="195"/>
      <c r="K50" s="195"/>
      <c r="L50" s="195"/>
      <c r="M50" s="195"/>
      <c r="N50" s="195"/>
      <c r="O50" s="195"/>
      <c r="P50" s="195"/>
      <c r="Q50" s="195"/>
    </row>
    <row r="51" spans="1:17" x14ac:dyDescent="0.25">
      <c r="A51" s="195"/>
      <c r="B51" s="211"/>
      <c r="C51" s="212"/>
      <c r="D51" s="195"/>
      <c r="E51" s="195"/>
      <c r="F51" s="195"/>
      <c r="G51" s="195"/>
      <c r="H51" s="195"/>
      <c r="I51" s="195"/>
      <c r="J51" s="195"/>
      <c r="K51" s="195"/>
      <c r="L51" s="195"/>
      <c r="M51" s="195"/>
      <c r="N51" s="195"/>
      <c r="O51" s="195"/>
      <c r="P51" s="195"/>
      <c r="Q51" s="195"/>
    </row>
    <row r="52" spans="1:17" ht="19.5" thickBot="1" x14ac:dyDescent="0.35">
      <c r="A52" s="195"/>
      <c r="B52" s="202" t="s">
        <v>3</v>
      </c>
      <c r="C52" s="210"/>
      <c r="D52" s="195"/>
      <c r="E52" s="195"/>
      <c r="F52" s="195"/>
      <c r="G52" s="195"/>
      <c r="H52" s="195"/>
      <c r="I52" s="195"/>
      <c r="J52" s="195"/>
      <c r="K52" s="195"/>
      <c r="L52" s="195"/>
      <c r="M52" s="195"/>
      <c r="N52" s="195"/>
      <c r="O52" s="195"/>
      <c r="P52" s="195"/>
      <c r="Q52" s="195"/>
    </row>
    <row r="53" spans="1:17" ht="15.75" thickBot="1" x14ac:dyDescent="0.3">
      <c r="A53" s="195"/>
      <c r="B53" s="204" t="s">
        <v>122</v>
      </c>
      <c r="C53" s="205">
        <f>SUM(Calculation!O59:O60)</f>
        <v>0</v>
      </c>
      <c r="D53" s="195"/>
      <c r="E53" s="195"/>
      <c r="F53" s="195"/>
      <c r="G53" s="195"/>
      <c r="H53" s="195"/>
      <c r="I53" s="195"/>
      <c r="J53" s="195"/>
      <c r="K53" s="195"/>
      <c r="L53" s="195"/>
      <c r="M53" s="195"/>
      <c r="N53" s="195"/>
      <c r="O53" s="195"/>
      <c r="P53" s="195"/>
      <c r="Q53" s="195"/>
    </row>
    <row r="54" spans="1:17" ht="15.75" thickBot="1" x14ac:dyDescent="0.3">
      <c r="A54" s="195"/>
      <c r="B54" s="204" t="s">
        <v>123</v>
      </c>
      <c r="C54" s="205">
        <f>SUM(Calculation!O61:O62)</f>
        <v>0</v>
      </c>
      <c r="D54" s="195"/>
      <c r="E54" s="195"/>
      <c r="F54" s="195"/>
      <c r="G54" s="195"/>
      <c r="H54" s="195"/>
      <c r="I54" s="195"/>
      <c r="J54" s="195"/>
      <c r="K54" s="195"/>
      <c r="L54" s="195"/>
      <c r="M54" s="195"/>
      <c r="N54" s="195"/>
      <c r="O54" s="195"/>
      <c r="P54" s="195"/>
      <c r="Q54" s="195"/>
    </row>
    <row r="55" spans="1:17" ht="15.75" thickBot="1" x14ac:dyDescent="0.3">
      <c r="A55" s="195"/>
      <c r="B55" s="204" t="s">
        <v>360</v>
      </c>
      <c r="C55" s="205">
        <f>SUM(Calculation!O63:O64)</f>
        <v>0</v>
      </c>
      <c r="D55" s="195"/>
      <c r="E55" s="195"/>
      <c r="F55" s="195"/>
      <c r="G55" s="195"/>
      <c r="H55" s="195"/>
      <c r="I55" s="195"/>
      <c r="J55" s="195"/>
      <c r="K55" s="195"/>
      <c r="L55" s="195"/>
      <c r="M55" s="195"/>
      <c r="N55" s="195"/>
      <c r="O55" s="195"/>
      <c r="P55" s="195"/>
      <c r="Q55" s="195"/>
    </row>
    <row r="56" spans="1:17" ht="15.75" thickBot="1" x14ac:dyDescent="0.3">
      <c r="A56" s="195"/>
      <c r="B56" s="207" t="s">
        <v>14</v>
      </c>
      <c r="C56" s="208">
        <f>SUM(C53:C55)</f>
        <v>0</v>
      </c>
      <c r="D56" s="195"/>
      <c r="E56" s="195"/>
      <c r="F56" s="195"/>
      <c r="G56" s="195"/>
      <c r="H56" s="195"/>
      <c r="I56" s="195"/>
      <c r="J56" s="195"/>
      <c r="K56" s="195"/>
      <c r="L56" s="195"/>
      <c r="M56" s="195"/>
      <c r="N56" s="195"/>
      <c r="O56" s="195"/>
      <c r="P56" s="195"/>
      <c r="Q56" s="195"/>
    </row>
    <row r="57" spans="1:17" x14ac:dyDescent="0.25">
      <c r="A57" s="195"/>
      <c r="B57" s="213" t="s">
        <v>361</v>
      </c>
      <c r="C57" s="214"/>
      <c r="D57" s="195"/>
      <c r="E57" s="195"/>
      <c r="F57" s="195"/>
      <c r="G57" s="195"/>
      <c r="H57" s="195"/>
      <c r="I57" s="195"/>
      <c r="J57" s="195"/>
      <c r="K57" s="195"/>
      <c r="L57" s="195"/>
      <c r="M57" s="195"/>
      <c r="N57" s="195"/>
      <c r="O57" s="195"/>
      <c r="P57" s="195"/>
      <c r="Q57" s="195"/>
    </row>
    <row r="58" spans="1:17" ht="15.75" thickBot="1" x14ac:dyDescent="0.3">
      <c r="A58" s="195"/>
      <c r="B58" s="215"/>
      <c r="C58" s="216"/>
      <c r="D58" s="195"/>
      <c r="E58" s="195"/>
      <c r="F58" s="195"/>
      <c r="G58" s="195"/>
      <c r="H58" s="195"/>
      <c r="I58" s="195"/>
      <c r="J58" s="195"/>
      <c r="K58" s="195"/>
      <c r="L58" s="195"/>
      <c r="M58" s="195"/>
      <c r="N58" s="195"/>
      <c r="O58" s="195"/>
      <c r="P58" s="195"/>
      <c r="Q58" s="195"/>
    </row>
    <row r="59" spans="1:17" ht="19.5" thickBot="1" x14ac:dyDescent="0.35">
      <c r="A59" s="195"/>
      <c r="B59" s="217" t="s">
        <v>286</v>
      </c>
      <c r="C59" s="218">
        <f>SUM(C15,C35,C41,C50,C56)</f>
        <v>0</v>
      </c>
      <c r="D59" s="195"/>
      <c r="E59" s="195"/>
      <c r="F59" s="195"/>
      <c r="G59" s="195"/>
      <c r="H59" s="195"/>
      <c r="I59" s="195"/>
      <c r="J59" s="195"/>
      <c r="K59" s="195"/>
      <c r="L59" s="195"/>
      <c r="M59" s="195"/>
      <c r="N59" s="195"/>
      <c r="O59" s="195"/>
      <c r="P59" s="195"/>
      <c r="Q59" s="195"/>
    </row>
    <row r="60" spans="1:17" x14ac:dyDescent="0.25">
      <c r="A60" s="195"/>
      <c r="B60" s="195"/>
      <c r="C60" s="195"/>
      <c r="D60" s="195"/>
      <c r="E60" s="195"/>
      <c r="F60" s="195"/>
      <c r="G60" s="195"/>
      <c r="H60" s="195"/>
      <c r="I60" s="195"/>
      <c r="J60" s="195"/>
      <c r="K60" s="195"/>
      <c r="L60" s="195"/>
      <c r="M60" s="195"/>
      <c r="N60" s="195"/>
      <c r="O60" s="195"/>
      <c r="P60" s="195"/>
      <c r="Q60" s="195"/>
    </row>
    <row r="61" spans="1:17" x14ac:dyDescent="0.25">
      <c r="A61" s="195"/>
      <c r="B61" s="206"/>
      <c r="C61" s="219"/>
      <c r="D61" s="195"/>
      <c r="E61" s="195"/>
      <c r="F61" s="195"/>
      <c r="G61" s="195"/>
      <c r="H61" s="195"/>
      <c r="I61" s="195"/>
      <c r="J61" s="195"/>
      <c r="K61" s="195"/>
      <c r="L61" s="195"/>
      <c r="M61" s="195"/>
      <c r="N61" s="195"/>
      <c r="O61" s="195"/>
      <c r="P61" s="195"/>
      <c r="Q61" s="195"/>
    </row>
    <row r="62" spans="1:17" x14ac:dyDescent="0.25">
      <c r="A62" s="195"/>
      <c r="B62" s="206"/>
      <c r="C62" s="206"/>
      <c r="D62" s="195"/>
      <c r="E62" s="195"/>
      <c r="F62" s="195"/>
      <c r="G62" s="195"/>
      <c r="H62" s="195"/>
      <c r="I62" s="195"/>
      <c r="J62" s="195"/>
      <c r="K62" s="195"/>
      <c r="L62" s="195"/>
      <c r="M62" s="195"/>
      <c r="N62" s="195"/>
      <c r="O62" s="195"/>
      <c r="P62" s="195"/>
      <c r="Q62" s="195"/>
    </row>
    <row r="63" spans="1:17" x14ac:dyDescent="0.25">
      <c r="A63" s="195"/>
      <c r="B63" s="219"/>
      <c r="C63" s="219"/>
      <c r="D63" s="195"/>
      <c r="E63" s="195"/>
      <c r="F63" s="195"/>
      <c r="G63" s="195"/>
      <c r="H63" s="195"/>
      <c r="I63" s="195"/>
      <c r="J63" s="195"/>
      <c r="K63" s="195"/>
      <c r="L63" s="195"/>
      <c r="M63" s="195"/>
      <c r="N63" s="195"/>
      <c r="O63" s="195"/>
      <c r="P63" s="195"/>
      <c r="Q63" s="195"/>
    </row>
    <row r="64" spans="1:17" x14ac:dyDescent="0.25">
      <c r="A64" s="195"/>
      <c r="B64" s="195"/>
      <c r="C64" s="195"/>
      <c r="D64" s="195"/>
      <c r="E64" s="195"/>
      <c r="F64" s="195"/>
      <c r="G64" s="195"/>
      <c r="H64" s="195"/>
      <c r="I64" s="195"/>
      <c r="J64" s="195"/>
      <c r="K64" s="195"/>
      <c r="L64" s="195"/>
      <c r="M64" s="195"/>
      <c r="N64" s="195"/>
      <c r="O64" s="195"/>
      <c r="P64" s="195"/>
      <c r="Q64" s="195"/>
    </row>
    <row r="65" spans="1:17" ht="36" x14ac:dyDescent="0.55000000000000004">
      <c r="A65" s="195"/>
      <c r="B65" s="198" t="s">
        <v>191</v>
      </c>
      <c r="C65" s="198"/>
      <c r="D65" s="220"/>
      <c r="E65" s="220"/>
      <c r="F65" s="220"/>
      <c r="G65" s="221"/>
      <c r="H65" s="221"/>
      <c r="I65" s="221"/>
      <c r="J65" s="221"/>
      <c r="K65" s="195"/>
      <c r="L65" s="195"/>
      <c r="M65" s="195"/>
      <c r="N65" s="195"/>
      <c r="O65" s="195"/>
      <c r="P65" s="195"/>
      <c r="Q65" s="195"/>
    </row>
    <row r="66" spans="1:17" ht="15.75" thickBot="1" x14ac:dyDescent="0.3">
      <c r="A66" s="195"/>
      <c r="B66" s="195"/>
      <c r="C66" s="195"/>
      <c r="D66" s="195"/>
      <c r="E66" s="195"/>
      <c r="F66" s="195"/>
      <c r="G66" s="195"/>
      <c r="H66" s="195"/>
      <c r="I66" s="195"/>
      <c r="J66" s="195"/>
      <c r="K66" s="195"/>
      <c r="L66" s="195"/>
      <c r="M66" s="195"/>
      <c r="N66" s="195"/>
      <c r="O66" s="195"/>
      <c r="P66" s="195"/>
      <c r="Q66" s="195"/>
    </row>
    <row r="67" spans="1:17" ht="15.75" thickBot="1" x14ac:dyDescent="0.3">
      <c r="A67" s="195"/>
      <c r="B67" s="222" t="s">
        <v>5</v>
      </c>
      <c r="C67" s="222" t="s">
        <v>6</v>
      </c>
      <c r="D67" s="222" t="s">
        <v>4</v>
      </c>
      <c r="E67" s="222" t="s">
        <v>7</v>
      </c>
      <c r="F67" s="222" t="s">
        <v>297</v>
      </c>
      <c r="G67" s="195"/>
      <c r="H67" s="195"/>
      <c r="I67" s="195"/>
      <c r="J67" s="195"/>
      <c r="K67" s="195"/>
      <c r="L67" s="195"/>
      <c r="M67" s="195"/>
      <c r="N67" s="195"/>
      <c r="O67" s="195"/>
      <c r="P67" s="195"/>
      <c r="Q67" s="195"/>
    </row>
    <row r="68" spans="1:17" ht="90.75" thickBot="1" x14ac:dyDescent="0.3">
      <c r="A68" s="195"/>
      <c r="B68" s="223" t="s">
        <v>190</v>
      </c>
      <c r="C68" s="224" t="s">
        <v>185</v>
      </c>
      <c r="D68" s="225" t="s">
        <v>387</v>
      </c>
      <c r="E68" s="225" t="s">
        <v>308</v>
      </c>
      <c r="F68" s="226" t="s">
        <v>319</v>
      </c>
      <c r="G68" s="195"/>
      <c r="H68" s="195"/>
      <c r="I68" s="195"/>
      <c r="J68" s="195"/>
      <c r="K68" s="195"/>
      <c r="L68" s="195"/>
      <c r="M68" s="195"/>
      <c r="N68" s="195"/>
      <c r="O68" s="195"/>
      <c r="P68" s="195"/>
      <c r="Q68" s="195"/>
    </row>
    <row r="69" spans="1:17" ht="90.75" thickBot="1" x14ac:dyDescent="0.3">
      <c r="A69" s="195"/>
      <c r="B69" s="223" t="s">
        <v>190</v>
      </c>
      <c r="C69" s="227" t="s">
        <v>98</v>
      </c>
      <c r="D69" s="228" t="s">
        <v>388</v>
      </c>
      <c r="E69" s="225" t="s">
        <v>308</v>
      </c>
      <c r="F69" s="229" t="s">
        <v>319</v>
      </c>
      <c r="G69" s="195"/>
      <c r="H69" s="195"/>
      <c r="I69" s="195"/>
      <c r="J69" s="195"/>
      <c r="K69" s="195"/>
      <c r="L69" s="195"/>
      <c r="M69" s="195"/>
      <c r="N69" s="195"/>
      <c r="O69" s="195"/>
      <c r="P69" s="195"/>
      <c r="Q69" s="195"/>
    </row>
    <row r="70" spans="1:17" ht="45.75" thickBot="1" x14ac:dyDescent="0.3">
      <c r="A70" s="195"/>
      <c r="B70" s="223" t="s">
        <v>190</v>
      </c>
      <c r="C70" s="227" t="s">
        <v>38</v>
      </c>
      <c r="D70" s="228" t="s">
        <v>390</v>
      </c>
      <c r="E70" s="228" t="s">
        <v>409</v>
      </c>
      <c r="F70" s="229" t="s">
        <v>319</v>
      </c>
      <c r="G70" s="195"/>
      <c r="H70" s="195"/>
      <c r="I70" s="195"/>
      <c r="J70" s="195"/>
      <c r="K70" s="195"/>
      <c r="L70" s="195"/>
      <c r="M70" s="195"/>
      <c r="N70" s="195"/>
      <c r="O70" s="195"/>
      <c r="P70" s="195"/>
      <c r="Q70" s="195"/>
    </row>
    <row r="71" spans="1:17" ht="45.75" thickBot="1" x14ac:dyDescent="0.3">
      <c r="A71" s="195"/>
      <c r="B71" s="223" t="s">
        <v>190</v>
      </c>
      <c r="C71" s="227" t="s">
        <v>39</v>
      </c>
      <c r="D71" s="228" t="s">
        <v>389</v>
      </c>
      <c r="E71" s="228" t="s">
        <v>410</v>
      </c>
      <c r="F71" s="229" t="s">
        <v>319</v>
      </c>
      <c r="G71" s="195"/>
      <c r="H71" s="195"/>
      <c r="I71" s="195"/>
      <c r="J71" s="195"/>
      <c r="K71" s="195"/>
      <c r="L71" s="195"/>
      <c r="M71" s="195"/>
      <c r="N71" s="195"/>
      <c r="O71" s="195"/>
      <c r="P71" s="195"/>
      <c r="Q71" s="195"/>
    </row>
    <row r="72" spans="1:17" ht="30.75" thickBot="1" x14ac:dyDescent="0.3">
      <c r="A72" s="195"/>
      <c r="B72" s="223" t="s">
        <v>292</v>
      </c>
      <c r="C72" s="227" t="s">
        <v>103</v>
      </c>
      <c r="D72" s="228" t="s">
        <v>401</v>
      </c>
      <c r="E72" s="228" t="s">
        <v>307</v>
      </c>
      <c r="F72" s="229" t="s">
        <v>298</v>
      </c>
      <c r="G72" s="195"/>
      <c r="H72" s="195"/>
      <c r="I72" s="195"/>
      <c r="J72" s="195"/>
      <c r="K72" s="195"/>
      <c r="L72" s="195"/>
      <c r="M72" s="195"/>
      <c r="N72" s="195"/>
      <c r="O72" s="195"/>
      <c r="P72" s="195"/>
      <c r="Q72" s="195"/>
    </row>
    <row r="73" spans="1:17" ht="45.75" thickBot="1" x14ac:dyDescent="0.3">
      <c r="A73" s="195"/>
      <c r="B73" s="223" t="s">
        <v>292</v>
      </c>
      <c r="C73" s="227" t="s">
        <v>73</v>
      </c>
      <c r="D73" s="228" t="s">
        <v>402</v>
      </c>
      <c r="E73" s="228" t="s">
        <v>306</v>
      </c>
      <c r="F73" s="229" t="s">
        <v>320</v>
      </c>
      <c r="G73" s="195"/>
      <c r="H73" s="195"/>
      <c r="I73" s="195"/>
      <c r="J73" s="195"/>
      <c r="K73" s="195"/>
      <c r="L73" s="195"/>
      <c r="M73" s="195"/>
      <c r="N73" s="195"/>
      <c r="O73" s="195"/>
      <c r="P73" s="195"/>
      <c r="Q73" s="195"/>
    </row>
    <row r="74" spans="1:17" ht="105.75" thickBot="1" x14ac:dyDescent="0.3">
      <c r="A74" s="195"/>
      <c r="B74" s="223" t="s">
        <v>292</v>
      </c>
      <c r="C74" s="227" t="s">
        <v>74</v>
      </c>
      <c r="D74" s="228" t="s">
        <v>391</v>
      </c>
      <c r="E74" s="228" t="s">
        <v>305</v>
      </c>
      <c r="F74" s="229" t="s">
        <v>321</v>
      </c>
      <c r="G74" s="195"/>
      <c r="H74" s="195"/>
      <c r="I74" s="195"/>
      <c r="J74" s="195"/>
      <c r="K74" s="195"/>
      <c r="L74" s="195"/>
      <c r="M74" s="195"/>
      <c r="N74" s="195"/>
      <c r="O74" s="195"/>
      <c r="P74" s="195"/>
      <c r="Q74" s="195"/>
    </row>
    <row r="75" spans="1:17" ht="45.75" thickBot="1" x14ac:dyDescent="0.3">
      <c r="A75" s="195"/>
      <c r="B75" s="223" t="s">
        <v>292</v>
      </c>
      <c r="C75" s="227" t="s">
        <v>76</v>
      </c>
      <c r="D75" s="228" t="s">
        <v>299</v>
      </c>
      <c r="E75" s="228" t="s">
        <v>300</v>
      </c>
      <c r="F75" s="229" t="s">
        <v>322</v>
      </c>
      <c r="G75" s="195"/>
      <c r="H75" s="195"/>
      <c r="I75" s="195"/>
      <c r="J75" s="195"/>
      <c r="K75" s="195"/>
      <c r="L75" s="195"/>
      <c r="M75" s="195"/>
      <c r="N75" s="195"/>
      <c r="O75" s="195"/>
      <c r="P75" s="195"/>
      <c r="Q75" s="195"/>
    </row>
    <row r="76" spans="1:17" ht="45.75" thickBot="1" x14ac:dyDescent="0.3">
      <c r="A76" s="195"/>
      <c r="B76" s="223" t="s">
        <v>292</v>
      </c>
      <c r="C76" s="227" t="s">
        <v>78</v>
      </c>
      <c r="D76" s="228" t="s">
        <v>392</v>
      </c>
      <c r="E76" s="228" t="s">
        <v>302</v>
      </c>
      <c r="F76" s="229" t="s">
        <v>301</v>
      </c>
      <c r="G76" s="195"/>
      <c r="H76" s="195"/>
      <c r="I76" s="195"/>
      <c r="J76" s="195"/>
      <c r="K76" s="195"/>
      <c r="L76" s="195"/>
      <c r="M76" s="195"/>
      <c r="N76" s="195"/>
      <c r="O76" s="195"/>
      <c r="P76" s="195"/>
      <c r="Q76" s="195"/>
    </row>
    <row r="77" spans="1:17" ht="30.75" thickBot="1" x14ac:dyDescent="0.3">
      <c r="A77" s="195"/>
      <c r="B77" s="223" t="s">
        <v>292</v>
      </c>
      <c r="C77" s="227" t="s">
        <v>81</v>
      </c>
      <c r="D77" s="228" t="s">
        <v>393</v>
      </c>
      <c r="E77" s="228" t="s">
        <v>303</v>
      </c>
      <c r="F77" s="229" t="s">
        <v>323</v>
      </c>
      <c r="G77" s="195"/>
      <c r="H77" s="195"/>
      <c r="I77" s="195"/>
      <c r="J77" s="195"/>
      <c r="K77" s="195"/>
      <c r="L77" s="195"/>
      <c r="M77" s="195"/>
      <c r="N77" s="195"/>
      <c r="O77" s="195"/>
      <c r="P77" s="195"/>
      <c r="Q77" s="195"/>
    </row>
    <row r="78" spans="1:17" ht="30.75" thickBot="1" x14ac:dyDescent="0.3">
      <c r="A78" s="195"/>
      <c r="B78" s="223" t="s">
        <v>292</v>
      </c>
      <c r="C78" s="227" t="s">
        <v>8</v>
      </c>
      <c r="D78" s="228" t="s">
        <v>394</v>
      </c>
      <c r="E78" s="228" t="s">
        <v>411</v>
      </c>
      <c r="F78" s="229" t="s">
        <v>324</v>
      </c>
      <c r="G78" s="195"/>
      <c r="H78" s="195"/>
      <c r="I78" s="195"/>
      <c r="J78" s="195"/>
      <c r="K78" s="195"/>
      <c r="L78" s="195"/>
      <c r="M78" s="195"/>
      <c r="N78" s="195"/>
      <c r="O78" s="195"/>
      <c r="P78" s="195"/>
      <c r="Q78" s="195"/>
    </row>
    <row r="79" spans="1:17" ht="120.75" thickBot="1" x14ac:dyDescent="0.3">
      <c r="A79" s="195"/>
      <c r="B79" s="223" t="s">
        <v>292</v>
      </c>
      <c r="C79" s="227" t="s">
        <v>9</v>
      </c>
      <c r="D79" s="228" t="s">
        <v>395</v>
      </c>
      <c r="E79" s="228" t="s">
        <v>304</v>
      </c>
      <c r="F79" s="229" t="s">
        <v>325</v>
      </c>
      <c r="G79" s="195"/>
      <c r="H79" s="195"/>
      <c r="I79" s="195"/>
      <c r="J79" s="195"/>
      <c r="K79" s="195"/>
      <c r="L79" s="195"/>
      <c r="M79" s="195"/>
      <c r="N79" s="195"/>
      <c r="O79" s="195"/>
      <c r="P79" s="195"/>
      <c r="Q79" s="195"/>
    </row>
    <row r="80" spans="1:17" ht="90.75" thickBot="1" x14ac:dyDescent="0.3">
      <c r="A80" s="195"/>
      <c r="B80" s="223" t="s">
        <v>292</v>
      </c>
      <c r="C80" s="227" t="s">
        <v>84</v>
      </c>
      <c r="D80" s="228" t="s">
        <v>396</v>
      </c>
      <c r="E80" s="228" t="s">
        <v>310</v>
      </c>
      <c r="F80" s="229" t="s">
        <v>309</v>
      </c>
      <c r="G80" s="195"/>
      <c r="H80" s="195"/>
      <c r="I80" s="195"/>
      <c r="J80" s="195"/>
      <c r="K80" s="195"/>
      <c r="L80" s="195"/>
      <c r="M80" s="195"/>
      <c r="N80" s="195"/>
      <c r="O80" s="195"/>
      <c r="P80" s="195"/>
      <c r="Q80" s="195"/>
    </row>
    <row r="81" spans="1:17" ht="60.75" thickBot="1" x14ac:dyDescent="0.3">
      <c r="A81" s="195"/>
      <c r="B81" s="223" t="s">
        <v>292</v>
      </c>
      <c r="C81" s="227" t="s">
        <v>89</v>
      </c>
      <c r="D81" s="228" t="s">
        <v>397</v>
      </c>
      <c r="E81" s="228" t="s">
        <v>327</v>
      </c>
      <c r="F81" s="229" t="s">
        <v>326</v>
      </c>
      <c r="G81" s="195"/>
      <c r="H81" s="195"/>
      <c r="I81" s="195"/>
      <c r="J81" s="195"/>
      <c r="K81" s="195"/>
      <c r="L81" s="195"/>
      <c r="M81" s="195"/>
      <c r="N81" s="195"/>
      <c r="O81" s="195"/>
      <c r="P81" s="195"/>
      <c r="Q81" s="195"/>
    </row>
    <row r="82" spans="1:17" ht="60.75" thickBot="1" x14ac:dyDescent="0.3">
      <c r="A82" s="195"/>
      <c r="B82" s="223" t="s">
        <v>292</v>
      </c>
      <c r="C82" s="227" t="s">
        <v>403</v>
      </c>
      <c r="D82" s="228" t="s">
        <v>328</v>
      </c>
      <c r="E82" s="228" t="s">
        <v>329</v>
      </c>
      <c r="F82" s="229" t="s">
        <v>230</v>
      </c>
      <c r="G82" s="195"/>
      <c r="H82" s="195"/>
      <c r="I82" s="195"/>
      <c r="J82" s="195"/>
      <c r="K82" s="195"/>
      <c r="L82" s="195"/>
      <c r="M82" s="195"/>
      <c r="N82" s="195"/>
      <c r="O82" s="195"/>
      <c r="P82" s="195"/>
      <c r="Q82" s="195"/>
    </row>
    <row r="83" spans="1:17" ht="30.75" thickBot="1" x14ac:dyDescent="0.3">
      <c r="A83" s="195"/>
      <c r="B83" s="223" t="s">
        <v>292</v>
      </c>
      <c r="C83" s="227" t="s">
        <v>94</v>
      </c>
      <c r="D83" s="228" t="s">
        <v>398</v>
      </c>
      <c r="E83" s="228" t="s">
        <v>330</v>
      </c>
      <c r="F83" s="229" t="s">
        <v>232</v>
      </c>
      <c r="G83" s="195"/>
      <c r="H83" s="195"/>
      <c r="I83" s="195"/>
      <c r="J83" s="195"/>
      <c r="K83" s="195"/>
      <c r="L83" s="195"/>
      <c r="M83" s="195"/>
      <c r="N83" s="195"/>
      <c r="O83" s="195"/>
      <c r="P83" s="195"/>
      <c r="Q83" s="195"/>
    </row>
    <row r="84" spans="1:17" ht="75.75" thickBot="1" x14ac:dyDescent="0.3">
      <c r="A84" s="195"/>
      <c r="B84" s="223" t="s">
        <v>292</v>
      </c>
      <c r="C84" s="227" t="s">
        <v>97</v>
      </c>
      <c r="D84" s="228" t="s">
        <v>333</v>
      </c>
      <c r="E84" s="228" t="s">
        <v>334</v>
      </c>
      <c r="F84" s="229" t="s">
        <v>317</v>
      </c>
      <c r="G84" s="195"/>
      <c r="H84" s="195"/>
      <c r="I84" s="195"/>
      <c r="J84" s="195"/>
      <c r="K84" s="195"/>
      <c r="L84" s="195"/>
      <c r="M84" s="195"/>
      <c r="N84" s="195"/>
      <c r="O84" s="195"/>
      <c r="P84" s="195"/>
      <c r="Q84" s="195"/>
    </row>
    <row r="85" spans="1:17" ht="255.75" thickBot="1" x14ac:dyDescent="0.3">
      <c r="A85" s="195"/>
      <c r="B85" s="223" t="s">
        <v>292</v>
      </c>
      <c r="C85" s="227" t="s">
        <v>10</v>
      </c>
      <c r="D85" s="228" t="s">
        <v>404</v>
      </c>
      <c r="E85" s="228" t="s">
        <v>412</v>
      </c>
      <c r="F85" s="229" t="s">
        <v>335</v>
      </c>
      <c r="G85" s="195"/>
      <c r="H85" s="195"/>
      <c r="I85" s="195"/>
      <c r="J85" s="195"/>
      <c r="K85" s="195"/>
      <c r="L85" s="195"/>
      <c r="M85" s="195"/>
      <c r="N85" s="195"/>
      <c r="O85" s="195"/>
      <c r="P85" s="195"/>
      <c r="Q85" s="195"/>
    </row>
    <row r="86" spans="1:17" ht="60.75" thickBot="1" x14ac:dyDescent="0.3">
      <c r="A86" s="195"/>
      <c r="B86" s="223" t="s">
        <v>292</v>
      </c>
      <c r="C86" s="227" t="s">
        <v>57</v>
      </c>
      <c r="D86" s="228" t="s">
        <v>336</v>
      </c>
      <c r="E86" s="228" t="s">
        <v>337</v>
      </c>
      <c r="F86" s="229" t="s">
        <v>231</v>
      </c>
      <c r="G86" s="195"/>
      <c r="H86" s="195"/>
      <c r="I86" s="195"/>
      <c r="J86" s="195"/>
      <c r="K86" s="195"/>
      <c r="L86" s="195"/>
      <c r="M86" s="195"/>
      <c r="N86" s="195"/>
      <c r="O86" s="195"/>
      <c r="P86" s="195"/>
      <c r="Q86" s="195"/>
    </row>
    <row r="87" spans="1:17" ht="30.75" thickBot="1" x14ac:dyDescent="0.3">
      <c r="A87" s="195"/>
      <c r="B87" s="223" t="s">
        <v>292</v>
      </c>
      <c r="C87" s="227" t="s">
        <v>51</v>
      </c>
      <c r="D87" s="228" t="s">
        <v>405</v>
      </c>
      <c r="E87" s="228" t="s">
        <v>413</v>
      </c>
      <c r="F87" s="229" t="s">
        <v>338</v>
      </c>
      <c r="G87" s="195"/>
      <c r="H87" s="195"/>
      <c r="I87" s="195"/>
      <c r="J87" s="195"/>
      <c r="K87" s="195"/>
      <c r="L87" s="195"/>
      <c r="M87" s="195"/>
      <c r="N87" s="195"/>
      <c r="O87" s="195"/>
      <c r="P87" s="195"/>
      <c r="Q87" s="195"/>
    </row>
    <row r="88" spans="1:17" ht="45.75" thickBot="1" x14ac:dyDescent="0.3">
      <c r="A88" s="195"/>
      <c r="B88" s="223" t="s">
        <v>292</v>
      </c>
      <c r="C88" s="227" t="s">
        <v>186</v>
      </c>
      <c r="D88" s="228" t="s">
        <v>341</v>
      </c>
      <c r="E88" s="228" t="s">
        <v>340</v>
      </c>
      <c r="F88" s="229" t="s">
        <v>339</v>
      </c>
      <c r="G88" s="195"/>
      <c r="H88" s="195"/>
      <c r="I88" s="195"/>
      <c r="J88" s="195"/>
      <c r="K88" s="195"/>
      <c r="L88" s="195"/>
      <c r="M88" s="195"/>
      <c r="N88" s="195"/>
      <c r="O88" s="195"/>
      <c r="P88" s="195"/>
      <c r="Q88" s="195"/>
    </row>
    <row r="89" spans="1:17" ht="30.75" thickBot="1" x14ac:dyDescent="0.3">
      <c r="A89" s="195"/>
      <c r="B89" s="223" t="s">
        <v>2</v>
      </c>
      <c r="C89" s="227" t="s">
        <v>11</v>
      </c>
      <c r="D89" s="228" t="s">
        <v>406</v>
      </c>
      <c r="E89" s="228" t="s">
        <v>342</v>
      </c>
      <c r="F89" s="229" t="s">
        <v>319</v>
      </c>
      <c r="G89" s="195"/>
      <c r="H89" s="195"/>
      <c r="I89" s="195"/>
      <c r="J89" s="195"/>
      <c r="K89" s="195"/>
      <c r="L89" s="195"/>
      <c r="M89" s="195"/>
      <c r="N89" s="195"/>
      <c r="O89" s="195"/>
      <c r="P89" s="195"/>
      <c r="Q89" s="195"/>
    </row>
    <row r="90" spans="1:17" ht="75" customHeight="1" thickBot="1" x14ac:dyDescent="0.3">
      <c r="A90" s="195"/>
      <c r="B90" s="223" t="s">
        <v>2</v>
      </c>
      <c r="C90" s="227" t="s">
        <v>12</v>
      </c>
      <c r="D90" s="228" t="s">
        <v>343</v>
      </c>
      <c r="E90" s="228" t="s">
        <v>342</v>
      </c>
      <c r="F90" s="229" t="s">
        <v>319</v>
      </c>
      <c r="G90" s="195"/>
      <c r="H90" s="195"/>
      <c r="I90" s="195"/>
      <c r="J90" s="195"/>
      <c r="K90" s="195"/>
      <c r="L90" s="195"/>
      <c r="M90" s="195"/>
      <c r="N90" s="195"/>
      <c r="O90" s="195"/>
      <c r="P90" s="195"/>
      <c r="Q90" s="195"/>
    </row>
    <row r="91" spans="1:17" ht="60.75" thickBot="1" x14ac:dyDescent="0.3">
      <c r="A91" s="195"/>
      <c r="B91" s="223" t="s">
        <v>2</v>
      </c>
      <c r="C91" s="227" t="s">
        <v>13</v>
      </c>
      <c r="D91" s="228" t="s">
        <v>344</v>
      </c>
      <c r="E91" s="228" t="s">
        <v>342</v>
      </c>
      <c r="F91" s="229" t="s">
        <v>319</v>
      </c>
      <c r="G91" s="195"/>
      <c r="H91" s="195"/>
      <c r="I91" s="195"/>
      <c r="J91" s="195"/>
      <c r="K91" s="195"/>
      <c r="L91" s="195"/>
      <c r="M91" s="195"/>
      <c r="N91" s="195"/>
      <c r="O91" s="195"/>
      <c r="P91" s="195"/>
      <c r="Q91" s="195"/>
    </row>
    <row r="92" spans="1:17" ht="75.75" thickBot="1" x14ac:dyDescent="0.3">
      <c r="A92" s="195"/>
      <c r="B92" s="223" t="s">
        <v>187</v>
      </c>
      <c r="C92" s="227" t="s">
        <v>1</v>
      </c>
      <c r="D92" s="228" t="s">
        <v>345</v>
      </c>
      <c r="E92" s="228" t="s">
        <v>414</v>
      </c>
      <c r="F92" s="228"/>
      <c r="G92" s="195"/>
      <c r="H92" s="195"/>
      <c r="I92" s="195"/>
      <c r="J92" s="195"/>
      <c r="K92" s="195"/>
      <c r="L92" s="195"/>
      <c r="M92" s="195"/>
      <c r="N92" s="195"/>
      <c r="O92" s="195"/>
      <c r="P92" s="195"/>
      <c r="Q92" s="195"/>
    </row>
    <row r="93" spans="1:17" ht="60.75" thickBot="1" x14ac:dyDescent="0.3">
      <c r="A93" s="195"/>
      <c r="B93" s="223" t="s">
        <v>187</v>
      </c>
      <c r="C93" s="227" t="s">
        <v>293</v>
      </c>
      <c r="D93" s="228" t="s">
        <v>346</v>
      </c>
      <c r="E93" s="228" t="s">
        <v>415</v>
      </c>
      <c r="F93" s="228"/>
      <c r="G93" s="195"/>
      <c r="H93" s="195"/>
      <c r="I93" s="195"/>
      <c r="J93" s="195"/>
      <c r="K93" s="195"/>
      <c r="L93" s="195"/>
      <c r="M93" s="195"/>
      <c r="N93" s="195"/>
      <c r="O93" s="195"/>
      <c r="P93" s="195"/>
      <c r="Q93" s="195"/>
    </row>
    <row r="94" spans="1:17" ht="45.75" thickBot="1" x14ac:dyDescent="0.3">
      <c r="A94" s="195"/>
      <c r="B94" s="223" t="s">
        <v>187</v>
      </c>
      <c r="C94" s="227" t="s">
        <v>294</v>
      </c>
      <c r="D94" s="228" t="s">
        <v>407</v>
      </c>
      <c r="E94" s="228" t="s">
        <v>347</v>
      </c>
      <c r="F94" s="228"/>
      <c r="G94" s="195"/>
      <c r="H94" s="195"/>
      <c r="I94" s="195"/>
      <c r="J94" s="195"/>
      <c r="K94" s="195"/>
      <c r="L94" s="195"/>
      <c r="M94" s="195"/>
      <c r="N94" s="195"/>
      <c r="O94" s="195"/>
      <c r="P94" s="195"/>
      <c r="Q94" s="195"/>
    </row>
    <row r="95" spans="1:17" ht="45.75" thickBot="1" x14ac:dyDescent="0.3">
      <c r="A95" s="195"/>
      <c r="B95" s="223" t="s">
        <v>187</v>
      </c>
      <c r="C95" s="227" t="s">
        <v>120</v>
      </c>
      <c r="D95" s="228" t="s">
        <v>399</v>
      </c>
      <c r="E95" s="228" t="s">
        <v>348</v>
      </c>
      <c r="F95" s="228"/>
      <c r="G95" s="195"/>
      <c r="H95" s="195"/>
      <c r="I95" s="195"/>
      <c r="J95" s="195"/>
      <c r="K95" s="195"/>
      <c r="L95" s="195"/>
      <c r="M95" s="195"/>
      <c r="N95" s="195"/>
      <c r="O95" s="195"/>
      <c r="P95" s="195"/>
      <c r="Q95" s="195"/>
    </row>
    <row r="96" spans="1:17" ht="60.75" thickBot="1" x14ac:dyDescent="0.3">
      <c r="A96" s="195"/>
      <c r="B96" s="223" t="s">
        <v>187</v>
      </c>
      <c r="C96" s="227" t="s">
        <v>295</v>
      </c>
      <c r="D96" s="228" t="s">
        <v>408</v>
      </c>
      <c r="E96" s="228" t="s">
        <v>416</v>
      </c>
      <c r="F96" s="228"/>
      <c r="G96" s="195"/>
      <c r="H96" s="195"/>
      <c r="I96" s="195"/>
      <c r="J96" s="195"/>
      <c r="K96" s="195"/>
      <c r="L96" s="195"/>
      <c r="M96" s="195"/>
      <c r="N96" s="195"/>
      <c r="O96" s="195"/>
      <c r="P96" s="195"/>
      <c r="Q96" s="195"/>
    </row>
    <row r="97" spans="1:17" ht="45.75" thickBot="1" x14ac:dyDescent="0.3">
      <c r="A97" s="195"/>
      <c r="B97" s="223" t="s">
        <v>187</v>
      </c>
      <c r="C97" s="227" t="s">
        <v>296</v>
      </c>
      <c r="D97" s="228" t="s">
        <v>400</v>
      </c>
      <c r="E97" s="228" t="s">
        <v>349</v>
      </c>
      <c r="F97" s="228"/>
      <c r="G97" s="195"/>
      <c r="H97" s="195"/>
      <c r="I97" s="195"/>
      <c r="J97" s="195"/>
      <c r="K97" s="195"/>
      <c r="L97" s="195"/>
      <c r="M97" s="195"/>
      <c r="N97" s="195"/>
      <c r="O97" s="195"/>
      <c r="P97" s="195"/>
      <c r="Q97" s="195"/>
    </row>
    <row r="98" spans="1:17" ht="60.75" thickBot="1" x14ac:dyDescent="0.3">
      <c r="A98" s="195"/>
      <c r="B98" s="223" t="s">
        <v>3</v>
      </c>
      <c r="C98" s="227" t="s">
        <v>122</v>
      </c>
      <c r="D98" s="228" t="s">
        <v>352</v>
      </c>
      <c r="E98" s="228" t="s">
        <v>353</v>
      </c>
      <c r="F98" s="229" t="s">
        <v>351</v>
      </c>
      <c r="G98" s="195"/>
      <c r="H98" s="195"/>
      <c r="I98" s="195"/>
      <c r="J98" s="195"/>
      <c r="K98" s="195"/>
      <c r="L98" s="195"/>
      <c r="M98" s="195"/>
      <c r="N98" s="195"/>
      <c r="O98" s="195"/>
      <c r="P98" s="195"/>
      <c r="Q98" s="195"/>
    </row>
    <row r="99" spans="1:17" ht="30.75" thickBot="1" x14ac:dyDescent="0.3">
      <c r="A99" s="195"/>
      <c r="B99" s="223" t="s">
        <v>3</v>
      </c>
      <c r="C99" s="227" t="s">
        <v>123</v>
      </c>
      <c r="D99" s="228" t="s">
        <v>354</v>
      </c>
      <c r="E99" s="228" t="s">
        <v>417</v>
      </c>
      <c r="F99" s="229" t="s">
        <v>355</v>
      </c>
      <c r="G99" s="195"/>
      <c r="H99" s="195"/>
      <c r="I99" s="195"/>
      <c r="J99" s="195"/>
      <c r="K99" s="195"/>
      <c r="L99" s="195"/>
      <c r="M99" s="195"/>
      <c r="N99" s="195"/>
      <c r="O99" s="195"/>
      <c r="P99" s="195"/>
      <c r="Q99" s="195"/>
    </row>
    <row r="100" spans="1:17" ht="120.75" thickBot="1" x14ac:dyDescent="0.3">
      <c r="A100" s="195"/>
      <c r="B100" s="223" t="s">
        <v>3</v>
      </c>
      <c r="C100" s="227" t="s">
        <v>188</v>
      </c>
      <c r="D100" s="228" t="s">
        <v>356</v>
      </c>
      <c r="E100" s="228" t="s">
        <v>358</v>
      </c>
      <c r="F100" s="229" t="s">
        <v>359</v>
      </c>
      <c r="G100" s="195"/>
      <c r="H100" s="195"/>
      <c r="I100" s="195"/>
      <c r="J100" s="195"/>
      <c r="K100" s="195"/>
      <c r="L100" s="195"/>
      <c r="M100" s="195"/>
      <c r="N100" s="195"/>
      <c r="O100" s="195"/>
      <c r="P100" s="195"/>
      <c r="Q100" s="195"/>
    </row>
    <row r="101" spans="1:17" x14ac:dyDescent="0.25">
      <c r="A101" s="195"/>
      <c r="B101" s="195"/>
      <c r="C101" s="195"/>
      <c r="D101" s="195"/>
      <c r="E101" s="195"/>
      <c r="F101" s="195"/>
      <c r="G101" s="195"/>
      <c r="H101" s="195"/>
      <c r="I101" s="195"/>
      <c r="J101" s="195"/>
      <c r="K101" s="195"/>
      <c r="L101" s="195"/>
      <c r="M101" s="195"/>
      <c r="N101" s="195"/>
      <c r="O101" s="195"/>
      <c r="P101" s="195"/>
      <c r="Q101" s="195"/>
    </row>
    <row r="102" spans="1:17" ht="383.25" customHeight="1" x14ac:dyDescent="0.25">
      <c r="A102" s="195"/>
      <c r="B102" s="195"/>
      <c r="C102" s="195"/>
      <c r="D102" s="195"/>
      <c r="E102" s="195"/>
      <c r="F102" s="195"/>
      <c r="G102" s="195"/>
      <c r="H102" s="195"/>
      <c r="I102" s="195"/>
      <c r="J102" s="195"/>
      <c r="K102" s="195"/>
      <c r="L102" s="195"/>
      <c r="M102" s="195"/>
      <c r="N102" s="195"/>
      <c r="O102" s="195"/>
      <c r="P102" s="195"/>
      <c r="Q102" s="195"/>
    </row>
    <row r="103" spans="1:17" ht="363" customHeight="1" x14ac:dyDescent="0.25">
      <c r="A103" s="195"/>
      <c r="B103" s="195"/>
      <c r="C103" s="195"/>
      <c r="D103" s="195"/>
      <c r="E103" s="195"/>
      <c r="F103" s="195"/>
      <c r="G103" s="195"/>
      <c r="H103" s="195"/>
      <c r="I103" s="195"/>
      <c r="J103" s="195"/>
      <c r="K103" s="195"/>
      <c r="L103" s="195"/>
      <c r="M103" s="195"/>
      <c r="N103" s="195"/>
      <c r="O103" s="195"/>
      <c r="P103" s="195"/>
      <c r="Q103" s="195"/>
    </row>
  </sheetData>
  <sheetProtection algorithmName="SHA-512" hashValue="QwbZK4P8UGHJKCs8RL7WWzelM4n4JllLnlqj4Deq7CnFMOX6rH/CdhtmkMUr9Vs/jfc48u4A/ZoOMdF70rN1PA==" saltValue="R4z9P/YouivbO8pyk7jpZQ==" spinCount="100000" sheet="1" objects="1" scenarios="1"/>
  <hyperlinks>
    <hyperlink ref="F72" r:id="rId1" xr:uid="{B48B64F8-3884-43EB-9152-934280CE9788}"/>
    <hyperlink ref="F76" r:id="rId2" location="inclusion" xr:uid="{64BC113A-BEE9-4431-A2D5-2DD63B05AD27}"/>
    <hyperlink ref="F80" r:id="rId3" location="Perpupil" xr:uid="{0F046BF0-ED1D-4D7D-9FB4-3FBC99EAB78B}"/>
    <hyperlink ref="F68" r:id="rId4" xr:uid="{3A43B18A-15F6-4903-858F-0EB1BB40269D}"/>
    <hyperlink ref="F69" r:id="rId5" xr:uid="{7A759098-C66F-492D-A65F-EE2AE2DFE737}"/>
    <hyperlink ref="F70" r:id="rId6" xr:uid="{487FA52E-5E0E-480E-9387-7D1A7F96E023}"/>
    <hyperlink ref="F71" r:id="rId7" xr:uid="{29875500-692D-4360-9E1A-099E0E639A75}"/>
    <hyperlink ref="F73" r:id="rId8" location="Relief" xr:uid="{EE4511BC-0910-49DA-85FB-417469CCE321}"/>
    <hyperlink ref="F74" r:id="rId9" location="Heat" xr:uid="{308E9430-F6D3-4E77-89A6-7C875087F2E6}"/>
    <hyperlink ref="F75" r:id="rId10" xr:uid="{BBB817D1-A731-4134-B331-B987B95773BF}"/>
    <hyperlink ref="F77" r:id="rId11" location="Careers" xr:uid="{1EE15063-3D8E-4937-AE0B-F45A9EAC5922}"/>
    <hyperlink ref="F78" r:id="rId12" location="ICT" xr:uid="{774CA05D-52D8-4B97-A31A-F2CA87D50E99}"/>
    <hyperlink ref="F79" r:id="rId13" location="Isolation" xr:uid="{719A3321-9F34-40F0-92F2-65E7807192D5}"/>
    <hyperlink ref="F81" r:id="rId14" location="Kiwisport" xr:uid="{E3C4FBEC-CD7D-43E3-A5B8-0CDA8C950995}"/>
    <hyperlink ref="F82" r:id="rId15" location="Maori" xr:uid="{1AB6B2D2-4859-40C6-BF13-7C7F49694BB4}"/>
    <hyperlink ref="F83" r:id="rId16" xr:uid="{B128A73C-D705-4182-B47C-6E9016C85617}"/>
    <hyperlink ref="F84" r:id="rId17" location="Pacificbilingual" xr:uid="{FA1C0D4A-06C8-409F-B98D-2C6BDDA7160C}"/>
    <hyperlink ref="F85" r:id="rId18" location="star" xr:uid="{523BAC78-920F-453C-B95C-C1260F6F280D}"/>
    <hyperlink ref="F86" r:id="rId19" xr:uid="{10C9CC0D-316A-49D4-B3CE-DCD9723B21F9}"/>
    <hyperlink ref="F87" r:id="rId20" xr:uid="{9A9830F3-0446-4B2B-B9BD-1EB41EAE87DB}"/>
    <hyperlink ref="F88" r:id="rId21" xr:uid="{D1EC2D1C-3DC6-49DB-B46E-FDB3E0008434}"/>
    <hyperlink ref="F89" r:id="rId22" xr:uid="{0878C20A-75C0-4FAE-8598-866C49013CF3}"/>
    <hyperlink ref="F90" r:id="rId23" xr:uid="{369128C4-EDCC-4A21-AC5C-B306A7CF2A10}"/>
    <hyperlink ref="F91" r:id="rId24" xr:uid="{A5DF90CA-1A1F-4774-B374-203DDCE18BC1}"/>
    <hyperlink ref="F98" r:id="rId25" location=":~:text=The%20property%20maintenance%20grant%20is,along%20with%20your%20operational%20funding." xr:uid="{A6F1D126-0826-4095-A68F-25F06684CCEC}"/>
    <hyperlink ref="F99" r:id="rId26" xr:uid="{137BA09B-ABD1-4E17-929E-DFD1106B3D43}"/>
    <hyperlink ref="F100" r:id="rId27" location=":~:text=Paying%20for%20capital%20work%20at,capital%20maintenance%20and%20modernisation%20projects." xr:uid="{BCDFA814-4705-4931-A8CB-CF3C53BAD3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9D45-BA1A-4446-BD5D-0A4CBEA8F4DE}">
  <sheetPr codeName="Sheet7">
    <tabColor rgb="FFFFC000"/>
  </sheetPr>
  <dimension ref="A1:AU752"/>
  <sheetViews>
    <sheetView topLeftCell="C1" zoomScale="55" zoomScaleNormal="55" workbookViewId="0">
      <selection activeCell="N35" sqref="N35"/>
    </sheetView>
  </sheetViews>
  <sheetFormatPr defaultRowHeight="18.75" x14ac:dyDescent="0.3"/>
  <cols>
    <col min="1" max="1" width="35.85546875" customWidth="1"/>
    <col min="2" max="2" width="23.28515625" customWidth="1"/>
    <col min="3" max="3" width="17" customWidth="1"/>
    <col min="4" max="4" width="16" customWidth="1"/>
    <col min="5" max="5" width="26.28515625" bestFit="1" customWidth="1"/>
    <col min="6" max="6" width="13.28515625" bestFit="1" customWidth="1"/>
    <col min="8" max="8" width="21.42578125" customWidth="1"/>
    <col min="9" max="9" width="20" bestFit="1" customWidth="1"/>
    <col min="10" max="10" width="42.85546875" customWidth="1"/>
    <col min="11" max="11" width="21.140625" bestFit="1" customWidth="1"/>
    <col min="12" max="12" width="41" customWidth="1"/>
    <col min="13" max="13" width="24.28515625" customWidth="1"/>
    <col min="14" max="14" width="32.42578125" bestFit="1" customWidth="1"/>
    <col min="15" max="15" width="34.42578125" bestFit="1" customWidth="1"/>
    <col min="16" max="16" width="83.85546875" customWidth="1"/>
    <col min="17" max="17" width="18" customWidth="1"/>
    <col min="18" max="18" width="33.140625" customWidth="1"/>
    <col min="19" max="19" width="18.140625" bestFit="1" customWidth="1"/>
    <col min="20" max="20" width="14.5703125" customWidth="1"/>
    <col min="21" max="21" width="13.28515625" customWidth="1"/>
    <col min="22" max="22" width="12.5703125" customWidth="1"/>
    <col min="23" max="23" width="15.140625" customWidth="1"/>
    <col min="24" max="24" width="25.85546875" customWidth="1"/>
    <col min="25" max="25" width="17.7109375" customWidth="1"/>
    <col min="26" max="26" width="12.5703125" customWidth="1"/>
    <col min="27" max="27" width="32.42578125" customWidth="1"/>
    <col min="28" max="28" width="20.85546875" customWidth="1"/>
    <col min="29" max="29" width="17.7109375" customWidth="1"/>
    <col min="30" max="30" width="14.28515625" customWidth="1"/>
    <col min="31" max="31" width="8.7109375" customWidth="1"/>
    <col min="33" max="33" width="16.28515625" customWidth="1"/>
    <col min="34" max="34" width="19.28515625" customWidth="1"/>
    <col min="35" max="35" width="19.5703125" customWidth="1"/>
    <col min="36" max="36" width="28.5703125" customWidth="1"/>
    <col min="37" max="37" width="12.140625" style="4" customWidth="1"/>
  </cols>
  <sheetData>
    <row r="1" spans="1:43" ht="23.25" x14ac:dyDescent="0.35">
      <c r="A1" s="5"/>
    </row>
    <row r="2" spans="1:43" ht="23.25" x14ac:dyDescent="0.35">
      <c r="A2" s="5"/>
    </row>
    <row r="3" spans="1:43" ht="15.75" customHeight="1" thickBot="1" x14ac:dyDescent="0.35">
      <c r="A3" s="2" t="s">
        <v>62</v>
      </c>
      <c r="E3" s="87"/>
      <c r="F3" s="86"/>
      <c r="G3" s="86"/>
    </row>
    <row r="4" spans="1:43" ht="15.75" customHeight="1" thickBot="1" x14ac:dyDescent="0.3">
      <c r="A4" s="8" t="s">
        <v>197</v>
      </c>
      <c r="B4" s="67" t="str">
        <f>Input!D11</f>
        <v>Primary</v>
      </c>
      <c r="E4" s="87"/>
      <c r="F4" s="86"/>
      <c r="G4" s="86"/>
      <c r="H4" s="2" t="s">
        <v>63</v>
      </c>
      <c r="P4" s="85"/>
      <c r="U4" s="147" t="s">
        <v>290</v>
      </c>
      <c r="V4" s="147"/>
      <c r="W4" s="147"/>
      <c r="X4" s="147"/>
      <c r="Y4" s="147"/>
      <c r="Z4" s="147"/>
      <c r="AA4" s="147"/>
      <c r="AB4" s="147"/>
      <c r="AC4" s="147"/>
      <c r="AD4" s="147"/>
      <c r="AE4" s="147"/>
      <c r="AF4" s="147"/>
      <c r="AG4" s="147"/>
      <c r="AJ4" s="23" t="s">
        <v>46</v>
      </c>
      <c r="AK4" s="148" t="s">
        <v>47</v>
      </c>
      <c r="AL4" s="148"/>
      <c r="AM4" s="23"/>
      <c r="AN4" s="23"/>
      <c r="AO4" s="23"/>
      <c r="AP4" s="23"/>
    </row>
    <row r="5" spans="1:43" ht="15" x14ac:dyDescent="0.25">
      <c r="A5" s="8" t="str">
        <f>Input!C19</f>
        <v>EQI</v>
      </c>
      <c r="B5" s="67">
        <f>Input!D19</f>
        <v>486</v>
      </c>
      <c r="E5" s="92"/>
      <c r="F5" s="93"/>
      <c r="G5" s="93"/>
      <c r="H5" s="7" t="s">
        <v>64</v>
      </c>
      <c r="I5" s="17" t="s">
        <v>5</v>
      </c>
      <c r="J5" s="17" t="s">
        <v>65</v>
      </c>
      <c r="K5" s="17" t="s">
        <v>66</v>
      </c>
      <c r="L5" s="17" t="s">
        <v>67</v>
      </c>
      <c r="M5" s="17" t="s">
        <v>15</v>
      </c>
      <c r="N5" s="17" t="s">
        <v>68</v>
      </c>
      <c r="O5" s="17" t="s">
        <v>69</v>
      </c>
      <c r="P5" s="171" t="s">
        <v>7</v>
      </c>
      <c r="AJ5" s="24">
        <v>1</v>
      </c>
      <c r="AK5" s="25" t="s">
        <v>48</v>
      </c>
      <c r="AL5" s="26"/>
      <c r="AM5" s="27"/>
      <c r="AN5" s="27"/>
      <c r="AO5" s="27"/>
      <c r="AP5" s="28"/>
    </row>
    <row r="6" spans="1:43" ht="15" x14ac:dyDescent="0.25">
      <c r="A6" s="8" t="str">
        <f>Input!C27</f>
        <v>Isolation Index</v>
      </c>
      <c r="B6" s="67">
        <f>Input!D27</f>
        <v>0</v>
      </c>
      <c r="E6" s="94"/>
      <c r="F6" s="95"/>
      <c r="G6" s="95"/>
      <c r="H6" s="18">
        <v>1</v>
      </c>
      <c r="I6" s="18" t="s">
        <v>70</v>
      </c>
      <c r="J6" s="19" t="s">
        <v>71</v>
      </c>
      <c r="K6" s="19" t="s">
        <v>71</v>
      </c>
      <c r="L6" s="44" t="str">
        <f>A73</f>
        <v>Rate_Table</v>
      </c>
      <c r="M6" s="61">
        <f>SUMIFS(Rate_Table[Rate],Rate_Table[Component],I6,Rate_Table[Student Type],K6,Rate_Table[School Type],School_Type)</f>
        <v>7117.98</v>
      </c>
      <c r="N6" s="44">
        <f>First_Students</f>
        <v>0</v>
      </c>
      <c r="O6" s="68">
        <f>N6*M6</f>
        <v>0</v>
      </c>
      <c r="P6" s="91" t="s">
        <v>244</v>
      </c>
      <c r="U6" t="s">
        <v>16</v>
      </c>
      <c r="W6" s="2" t="s">
        <v>29</v>
      </c>
      <c r="Y6" t="s">
        <v>262</v>
      </c>
      <c r="AA6" t="s">
        <v>17</v>
      </c>
      <c r="AC6" s="76" t="s">
        <v>18</v>
      </c>
      <c r="AE6" t="s">
        <v>261</v>
      </c>
      <c r="AG6" s="2" t="s">
        <v>25</v>
      </c>
      <c r="AJ6" s="29">
        <v>2</v>
      </c>
      <c r="AK6" s="30" t="s">
        <v>49</v>
      </c>
      <c r="AL6" s="31"/>
      <c r="AM6" s="3"/>
      <c r="AN6" s="3"/>
      <c r="AO6" s="3"/>
      <c r="AP6" s="32"/>
    </row>
    <row r="7" spans="1:43" ht="15" x14ac:dyDescent="0.25">
      <c r="A7" s="8" t="str">
        <f>Input!C21</f>
        <v>Vandalism Risk</v>
      </c>
      <c r="B7" s="67" t="str">
        <f>Input!D21</f>
        <v xml:space="preserve">Not Qualify </v>
      </c>
      <c r="E7" s="96"/>
      <c r="F7" s="97"/>
      <c r="G7" s="98"/>
      <c r="H7" s="18">
        <v>2</v>
      </c>
      <c r="I7" s="18" t="s">
        <v>70</v>
      </c>
      <c r="J7" s="20" t="s">
        <v>72</v>
      </c>
      <c r="K7" s="20" t="s">
        <v>72</v>
      </c>
      <c r="L7" s="44" t="str">
        <f>A73</f>
        <v>Rate_Table</v>
      </c>
      <c r="M7" s="61">
        <f>SUMIFS(Rate_Table[Rate],Rate_Table[Component],I7,Rate_Table[Student Type],K7,Rate_Table[School Type],School_Type)</f>
        <v>5359.59</v>
      </c>
      <c r="N7" s="44">
        <f>Extra_Students</f>
        <v>0</v>
      </c>
      <c r="O7" s="68">
        <f t="shared" ref="O7:O8" si="0">N7*M7</f>
        <v>0</v>
      </c>
      <c r="P7" s="91" t="s">
        <v>245</v>
      </c>
      <c r="U7" t="s">
        <v>19</v>
      </c>
      <c r="W7" t="s">
        <v>30</v>
      </c>
      <c r="Y7" t="b">
        <v>1</v>
      </c>
      <c r="AA7" t="b">
        <v>1</v>
      </c>
      <c r="AC7" s="74" t="s">
        <v>20</v>
      </c>
      <c r="AE7" t="b">
        <v>1</v>
      </c>
      <c r="AG7" t="s">
        <v>26</v>
      </c>
      <c r="AJ7" s="29"/>
      <c r="AK7" s="33" t="s">
        <v>50</v>
      </c>
      <c r="AL7" s="31"/>
      <c r="AM7" s="3"/>
      <c r="AN7" s="3"/>
      <c r="AO7" s="3"/>
      <c r="AP7" s="32"/>
    </row>
    <row r="8" spans="1:43" ht="15" x14ac:dyDescent="0.25">
      <c r="A8" s="8" t="str">
        <f>Input!C23</f>
        <v>Inclusion in Risk Management Scheme</v>
      </c>
      <c r="B8" s="67" t="b">
        <f>Input!D23</f>
        <v>0</v>
      </c>
      <c r="E8" s="99"/>
      <c r="F8" s="100"/>
      <c r="G8" s="101"/>
      <c r="H8" s="18">
        <v>3</v>
      </c>
      <c r="I8" s="18" t="s">
        <v>70</v>
      </c>
      <c r="J8" s="19" t="s">
        <v>234</v>
      </c>
      <c r="K8" s="19" t="s">
        <v>234</v>
      </c>
      <c r="L8" s="44" t="str">
        <f>A73</f>
        <v>Rate_Table</v>
      </c>
      <c r="M8" s="61">
        <f>SUMIFS(Rate_Table[Rate],Rate_Table[Component],I8,Rate_Table[Student Type],K8,Rate_Table[School Type],School_Type)</f>
        <v>1498.15</v>
      </c>
      <c r="N8" s="44">
        <f>Maori_Immersion</f>
        <v>0</v>
      </c>
      <c r="O8" s="68">
        <f t="shared" si="0"/>
        <v>0</v>
      </c>
      <c r="P8" s="91" t="s">
        <v>246</v>
      </c>
      <c r="U8" t="s">
        <v>22</v>
      </c>
      <c r="W8" t="s">
        <v>32</v>
      </c>
      <c r="Y8" t="b">
        <v>0</v>
      </c>
      <c r="AA8" t="b">
        <v>0</v>
      </c>
      <c r="AC8" s="75" t="s">
        <v>23</v>
      </c>
      <c r="AE8" t="b">
        <v>0</v>
      </c>
      <c r="AG8" t="s">
        <v>27</v>
      </c>
      <c r="AJ8" s="29">
        <v>3</v>
      </c>
      <c r="AK8" s="30" t="s">
        <v>52</v>
      </c>
      <c r="AL8" s="31"/>
      <c r="AM8" s="3"/>
      <c r="AN8" s="3"/>
      <c r="AO8" s="3"/>
      <c r="AP8" s="32"/>
    </row>
    <row r="9" spans="1:43" ht="15" x14ac:dyDescent="0.25">
      <c r="A9" s="8" t="str">
        <f>Input!C25</f>
        <v>Inclusion in Donations Scheme</v>
      </c>
      <c r="B9" s="67" t="b">
        <f>Input!D25</f>
        <v>0</v>
      </c>
      <c r="E9" s="102"/>
      <c r="F9" s="103"/>
      <c r="G9" s="103"/>
      <c r="H9" s="18">
        <v>4</v>
      </c>
      <c r="I9" s="19" t="s">
        <v>1</v>
      </c>
      <c r="J9" s="19" t="s">
        <v>73</v>
      </c>
      <c r="K9" s="19" t="s">
        <v>71</v>
      </c>
      <c r="L9" s="44" t="str">
        <f>A73</f>
        <v>Rate_Table</v>
      </c>
      <c r="M9" s="61">
        <f>SUMIFS(Rate_Table[Rate],Rate_Table[Student Type],K9,Rate_Table[Sub Component],J9,Rate_Table[School Type],School_Type)</f>
        <v>320.05</v>
      </c>
      <c r="N9" s="44">
        <f>First_Students</f>
        <v>0</v>
      </c>
      <c r="O9" s="68">
        <f>N9*M9</f>
        <v>0</v>
      </c>
      <c r="P9" s="91" t="s">
        <v>244</v>
      </c>
      <c r="U9" t="s">
        <v>21</v>
      </c>
      <c r="W9" t="s">
        <v>33</v>
      </c>
      <c r="AC9" s="77" t="s">
        <v>24</v>
      </c>
      <c r="AJ9" s="29" t="s">
        <v>53</v>
      </c>
      <c r="AK9" s="30" t="s">
        <v>54</v>
      </c>
      <c r="AL9" s="31"/>
      <c r="AM9" s="3"/>
      <c r="AN9" s="3"/>
      <c r="AO9" s="3"/>
      <c r="AP9" s="32"/>
    </row>
    <row r="10" spans="1:43" ht="15.75" thickBot="1" x14ac:dyDescent="0.3">
      <c r="A10" s="8" t="str">
        <f>Input!C13</f>
        <v>New School</v>
      </c>
      <c r="B10" s="67" t="b">
        <f>Input!D13</f>
        <v>0</v>
      </c>
      <c r="E10" s="104"/>
      <c r="F10" s="105"/>
      <c r="G10" s="105"/>
      <c r="H10" s="18">
        <v>5</v>
      </c>
      <c r="I10" s="20" t="s">
        <v>1</v>
      </c>
      <c r="J10" s="19" t="s">
        <v>73</v>
      </c>
      <c r="K10" s="20" t="s">
        <v>72</v>
      </c>
      <c r="L10" s="44" t="str">
        <f>A73</f>
        <v>Rate_Table</v>
      </c>
      <c r="M10" s="61">
        <f>SUMIFS(Rate_Table[Rate],Rate_Table[Student Type],K10,Rate_Table[Sub Component],J10,Rate_Table[School Type],School_Type)</f>
        <v>202.29</v>
      </c>
      <c r="N10" s="44">
        <f>Extra_Students</f>
        <v>0</v>
      </c>
      <c r="O10" s="68">
        <f t="shared" ref="O10:O12" si="1">N10*M10</f>
        <v>0</v>
      </c>
      <c r="P10" s="91" t="s">
        <v>245</v>
      </c>
      <c r="W10" t="s">
        <v>34</v>
      </c>
      <c r="AJ10" s="34" t="s">
        <v>55</v>
      </c>
      <c r="AK10" s="35" t="s">
        <v>56</v>
      </c>
      <c r="AL10" s="36"/>
      <c r="AM10" s="37"/>
      <c r="AN10" s="37"/>
      <c r="AO10" s="37"/>
      <c r="AP10" s="38"/>
    </row>
    <row r="11" spans="1:43" ht="15" x14ac:dyDescent="0.25">
      <c r="A11" s="8" t="str">
        <f>Input!C15</f>
        <v>Property Type</v>
      </c>
      <c r="B11" s="67" t="str">
        <f>Input!D15</f>
        <v>Ministry owned</v>
      </c>
      <c r="E11" s="106"/>
      <c r="F11" s="107"/>
      <c r="G11" s="107"/>
      <c r="H11" s="18">
        <v>6</v>
      </c>
      <c r="I11" s="19" t="s">
        <v>1</v>
      </c>
      <c r="J11" s="19" t="s">
        <v>74</v>
      </c>
      <c r="K11" s="19" t="s">
        <v>71</v>
      </c>
      <c r="L11" s="44" t="str">
        <f>A73</f>
        <v>Rate_Table</v>
      </c>
      <c r="M11" s="61">
        <f>SUMIFS(Rate_Table[Rate],Rate_Table[Student Type],K11,Rate_Table[Sub Component],J11,Rate_Table[School Type],School_Type)</f>
        <v>150.80000000000001</v>
      </c>
      <c r="N11" s="44">
        <f>First_Students</f>
        <v>0</v>
      </c>
      <c r="O11" s="68">
        <f t="shared" si="1"/>
        <v>0</v>
      </c>
      <c r="P11" s="91" t="s">
        <v>244</v>
      </c>
      <c r="W11" t="s">
        <v>36</v>
      </c>
      <c r="AK11"/>
    </row>
    <row r="12" spans="1:43" ht="15.75" thickBot="1" x14ac:dyDescent="0.3">
      <c r="A12" s="8" t="str">
        <f>Input!C17</f>
        <v>Area Classification</v>
      </c>
      <c r="B12" s="67" t="str">
        <f>Area_Type</f>
        <v>Major urban centre</v>
      </c>
      <c r="E12" s="108"/>
      <c r="F12" s="108"/>
      <c r="G12" s="86"/>
      <c r="H12" s="18">
        <v>7</v>
      </c>
      <c r="I12" s="20" t="s">
        <v>1</v>
      </c>
      <c r="J12" s="19" t="s">
        <v>74</v>
      </c>
      <c r="K12" s="20" t="s">
        <v>72</v>
      </c>
      <c r="L12" s="44" t="str">
        <f>A73</f>
        <v>Rate_Table</v>
      </c>
      <c r="M12" s="61">
        <f>SUMIFS(Rate_Table[Rate],Rate_Table[Student Type],K12,Rate_Table[Sub Component],J12,Rate_Table[School Type],School_Type)</f>
        <v>72.56</v>
      </c>
      <c r="N12" s="44">
        <f>Extra_Students</f>
        <v>0</v>
      </c>
      <c r="O12" s="68">
        <f t="shared" si="1"/>
        <v>0</v>
      </c>
      <c r="P12" s="91" t="s">
        <v>245</v>
      </c>
      <c r="W12" t="s">
        <v>37</v>
      </c>
      <c r="AK12"/>
    </row>
    <row r="13" spans="1:43" ht="15.75" thickBot="1" x14ac:dyDescent="0.3">
      <c r="E13" s="109"/>
      <c r="F13" s="109"/>
      <c r="G13" s="109"/>
      <c r="H13" s="18">
        <v>8</v>
      </c>
      <c r="I13" s="20" t="s">
        <v>1</v>
      </c>
      <c r="J13" s="19" t="s">
        <v>76</v>
      </c>
      <c r="K13" s="18" t="s">
        <v>77</v>
      </c>
      <c r="L13" s="44" t="str">
        <f>H73</f>
        <v>EQI_Rate_Table</v>
      </c>
      <c r="M13" s="61">
        <f>SUMIFS(Table9[Rate],Table9[Sub Component],J13,Table9[EQI],EQI)</f>
        <v>537.86</v>
      </c>
      <c r="N13" s="44">
        <f>Total_Roll</f>
        <v>0</v>
      </c>
      <c r="O13" s="68">
        <f t="shared" ref="O13:O28" si="2">N13*M13</f>
        <v>0</v>
      </c>
      <c r="P13" s="91" t="s">
        <v>248</v>
      </c>
      <c r="AJ13" s="47" t="s">
        <v>57</v>
      </c>
      <c r="AK13" s="48"/>
      <c r="AL13" s="48"/>
      <c r="AM13" s="48"/>
      <c r="AN13" s="48"/>
      <c r="AO13" s="48"/>
      <c r="AP13" s="48"/>
      <c r="AQ13" s="49"/>
    </row>
    <row r="14" spans="1:43" ht="15" x14ac:dyDescent="0.25">
      <c r="A14" s="7" t="s">
        <v>35</v>
      </c>
      <c r="B14" s="7" t="s">
        <v>75</v>
      </c>
      <c r="C14" s="2"/>
      <c r="E14" s="86"/>
      <c r="F14" s="86"/>
      <c r="G14" s="86"/>
      <c r="H14" s="18">
        <v>9</v>
      </c>
      <c r="I14" s="18" t="s">
        <v>1</v>
      </c>
      <c r="J14" s="19" t="s">
        <v>78</v>
      </c>
      <c r="K14" s="18" t="s">
        <v>77</v>
      </c>
      <c r="L14" s="44" t="str">
        <f>H73</f>
        <v>EQI_Rate_Table</v>
      </c>
      <c r="M14" s="61">
        <f>SUMIFS(Table9[Rate],Table9[Sub Component],J14,Table9[EQI],EQI)</f>
        <v>76.97</v>
      </c>
      <c r="N14" s="44">
        <f>Total_Roll</f>
        <v>0</v>
      </c>
      <c r="O14" s="68">
        <f t="shared" si="2"/>
        <v>0</v>
      </c>
      <c r="P14" s="91" t="s">
        <v>248</v>
      </c>
      <c r="AJ14" s="45" t="s">
        <v>58</v>
      </c>
      <c r="AK14"/>
      <c r="AQ14" s="39"/>
    </row>
    <row r="15" spans="1:43" ht="15" x14ac:dyDescent="0.25">
      <c r="A15" s="8" t="str">
        <f>Input!C32</f>
        <v>Year 1</v>
      </c>
      <c r="B15" s="64">
        <f>Input!D32</f>
        <v>0</v>
      </c>
      <c r="C15" s="83"/>
      <c r="E15" s="86"/>
      <c r="F15" s="86"/>
      <c r="G15" s="86"/>
      <c r="H15" s="18">
        <v>10</v>
      </c>
      <c r="I15" s="18" t="s">
        <v>1</v>
      </c>
      <c r="J15" s="19" t="s">
        <v>79</v>
      </c>
      <c r="K15" s="18" t="s">
        <v>80</v>
      </c>
      <c r="L15" s="44" t="str">
        <f>L73</f>
        <v>OPS_Base_Rates</v>
      </c>
      <c r="M15" s="61">
        <f>M75</f>
        <v>14.65</v>
      </c>
      <c r="N15" s="44">
        <f>First_100</f>
        <v>0</v>
      </c>
      <c r="O15" s="68">
        <f t="shared" si="2"/>
        <v>0</v>
      </c>
      <c r="P15" s="91" t="s">
        <v>249</v>
      </c>
      <c r="AJ15" s="45" t="s">
        <v>59</v>
      </c>
      <c r="AK15"/>
      <c r="AQ15" s="39"/>
    </row>
    <row r="16" spans="1:43" ht="15.75" thickBot="1" x14ac:dyDescent="0.3">
      <c r="A16" s="8" t="str">
        <f>Input!C33</f>
        <v>Year 2</v>
      </c>
      <c r="B16" s="64">
        <f>Input!D33</f>
        <v>0</v>
      </c>
      <c r="C16" s="83"/>
      <c r="E16" s="86"/>
      <c r="F16" s="86"/>
      <c r="G16" s="86"/>
      <c r="H16" s="89">
        <v>11</v>
      </c>
      <c r="I16" s="89" t="s">
        <v>1</v>
      </c>
      <c r="J16" s="89" t="s">
        <v>81</v>
      </c>
      <c r="K16" s="89" t="s">
        <v>77</v>
      </c>
      <c r="L16" s="90" t="str">
        <f>H73</f>
        <v>EQI_Rate_Table</v>
      </c>
      <c r="M16" s="61">
        <f>SUMIFS(Table9[Rate],Table9[Sub Component],J16,Table9[EQI],EQI)</f>
        <v>29.78</v>
      </c>
      <c r="N16" s="90">
        <f>Secondary_Roll</f>
        <v>0</v>
      </c>
      <c r="O16" s="68">
        <f t="shared" si="2"/>
        <v>0</v>
      </c>
      <c r="P16" s="91" t="s">
        <v>250</v>
      </c>
      <c r="AJ16" s="46" t="s">
        <v>60</v>
      </c>
      <c r="AK16" s="40"/>
      <c r="AL16" s="40"/>
      <c r="AM16" s="40"/>
      <c r="AN16" s="40"/>
      <c r="AO16" s="40"/>
      <c r="AP16" s="40"/>
      <c r="AQ16" s="41"/>
    </row>
    <row r="17" spans="1:38" ht="15" x14ac:dyDescent="0.25">
      <c r="A17" s="8" t="str">
        <f>Input!C34</f>
        <v>Year 3</v>
      </c>
      <c r="B17" s="64">
        <f>Input!D34</f>
        <v>0</v>
      </c>
      <c r="C17" s="83"/>
      <c r="E17" s="86"/>
      <c r="F17" s="86"/>
      <c r="G17" s="86"/>
      <c r="H17" s="89">
        <v>12</v>
      </c>
      <c r="I17" s="89" t="s">
        <v>1</v>
      </c>
      <c r="J17" s="89" t="s">
        <v>8</v>
      </c>
      <c r="K17" s="89" t="s">
        <v>77</v>
      </c>
      <c r="L17" s="90" t="str">
        <f>O73</f>
        <v>OPS_Core_Comp_Rates</v>
      </c>
      <c r="M17" s="61">
        <f>Q75</f>
        <v>39.549999999999997</v>
      </c>
      <c r="N17" s="90">
        <f>Total_Roll</f>
        <v>0</v>
      </c>
      <c r="O17" s="68">
        <f t="shared" si="2"/>
        <v>0</v>
      </c>
      <c r="P17" s="91" t="s">
        <v>248</v>
      </c>
      <c r="U17" s="1"/>
      <c r="AJ17" s="9" t="s">
        <v>61</v>
      </c>
      <c r="AK17"/>
    </row>
    <row r="18" spans="1:38" x14ac:dyDescent="0.3">
      <c r="A18" s="8" t="str">
        <f>Input!C35</f>
        <v>Year 4</v>
      </c>
      <c r="B18" s="64">
        <f>Input!D35</f>
        <v>0</v>
      </c>
      <c r="C18" s="83"/>
      <c r="E18" s="86"/>
      <c r="F18" s="86"/>
      <c r="G18" s="86"/>
      <c r="H18" s="89">
        <v>13</v>
      </c>
      <c r="I18" s="89" t="s">
        <v>1</v>
      </c>
      <c r="J18" s="89" t="s">
        <v>82</v>
      </c>
      <c r="K18" s="89" t="s">
        <v>80</v>
      </c>
      <c r="L18" s="90" t="str">
        <f>L73</f>
        <v>OPS_Base_Rates</v>
      </c>
      <c r="M18" s="61">
        <f>M77</f>
        <v>59.19</v>
      </c>
      <c r="N18" s="90">
        <f>First_100</f>
        <v>0</v>
      </c>
      <c r="O18" s="68">
        <f t="shared" si="2"/>
        <v>0</v>
      </c>
      <c r="P18" s="91" t="s">
        <v>249</v>
      </c>
      <c r="AK18"/>
      <c r="AL18" s="4"/>
    </row>
    <row r="19" spans="1:38" ht="30" x14ac:dyDescent="0.3">
      <c r="A19" s="8" t="str">
        <f>Input!C36</f>
        <v>Year 5</v>
      </c>
      <c r="B19" s="64">
        <f>Input!D36</f>
        <v>0</v>
      </c>
      <c r="C19" s="83"/>
      <c r="H19" s="89">
        <v>14</v>
      </c>
      <c r="I19" s="89" t="s">
        <v>1</v>
      </c>
      <c r="J19" s="89" t="s">
        <v>83</v>
      </c>
      <c r="K19" s="89" t="s">
        <v>80</v>
      </c>
      <c r="L19" s="90" t="str">
        <f>L73</f>
        <v>OPS_Base_Rates</v>
      </c>
      <c r="M19" s="61">
        <f>IF(Isolation_Index&gt;=1.27,M76,0)</f>
        <v>0</v>
      </c>
      <c r="N19" s="90">
        <f>First_100</f>
        <v>0</v>
      </c>
      <c r="O19" s="68">
        <f>N19*M19</f>
        <v>0</v>
      </c>
      <c r="P19" s="172" t="s">
        <v>251</v>
      </c>
      <c r="AK19"/>
      <c r="AL19" s="4"/>
    </row>
    <row r="20" spans="1:38" x14ac:dyDescent="0.3">
      <c r="A20" s="8" t="str">
        <f>Input!C37</f>
        <v>Year 6</v>
      </c>
      <c r="B20" s="64">
        <f>Input!D37</f>
        <v>0</v>
      </c>
      <c r="C20" s="83"/>
      <c r="H20" s="89">
        <v>15</v>
      </c>
      <c r="I20" s="89" t="s">
        <v>1</v>
      </c>
      <c r="J20" s="89" t="s">
        <v>84</v>
      </c>
      <c r="K20" s="89" t="s">
        <v>85</v>
      </c>
      <c r="L20" s="90" t="str">
        <f>O73</f>
        <v>OPS_Core_Comp_Rates</v>
      </c>
      <c r="M20" s="61">
        <f t="shared" ref="M20:M29" si="3">Q76</f>
        <v>913.73</v>
      </c>
      <c r="N20" s="90">
        <f>SUM(B15:B20)</f>
        <v>0</v>
      </c>
      <c r="O20" s="68">
        <f t="shared" si="2"/>
        <v>0</v>
      </c>
      <c r="P20" s="91" t="s">
        <v>252</v>
      </c>
    </row>
    <row r="21" spans="1:38" x14ac:dyDescent="0.3">
      <c r="A21" s="8" t="str">
        <f>Input!C38</f>
        <v>Year 7</v>
      </c>
      <c r="B21" s="64">
        <f>Input!D38</f>
        <v>0</v>
      </c>
      <c r="C21" s="83"/>
      <c r="H21" s="89">
        <v>16</v>
      </c>
      <c r="I21" s="89" t="s">
        <v>1</v>
      </c>
      <c r="J21" s="89" t="s">
        <v>84</v>
      </c>
      <c r="K21" s="89" t="s">
        <v>86</v>
      </c>
      <c r="L21" s="90" t="str">
        <f>O73</f>
        <v>OPS_Core_Comp_Rates</v>
      </c>
      <c r="M21" s="61">
        <f t="shared" si="3"/>
        <v>1020.74</v>
      </c>
      <c r="N21" s="90">
        <f>SUM(B21:B22)</f>
        <v>0</v>
      </c>
      <c r="O21" s="68">
        <f t="shared" si="2"/>
        <v>0</v>
      </c>
      <c r="P21" s="91" t="s">
        <v>253</v>
      </c>
    </row>
    <row r="22" spans="1:38" x14ac:dyDescent="0.3">
      <c r="A22" s="8" t="str">
        <f>Input!C39</f>
        <v>Year 8</v>
      </c>
      <c r="B22" s="64">
        <f>Input!D39</f>
        <v>0</v>
      </c>
      <c r="C22" s="83"/>
      <c r="H22" s="89">
        <v>17</v>
      </c>
      <c r="I22" s="89" t="s">
        <v>1</v>
      </c>
      <c r="J22" s="89" t="s">
        <v>84</v>
      </c>
      <c r="K22" s="89" t="s">
        <v>87</v>
      </c>
      <c r="L22" s="90" t="str">
        <f>O73</f>
        <v>OPS_Core_Comp_Rates</v>
      </c>
      <c r="M22" s="61">
        <f t="shared" si="3"/>
        <v>1165.06</v>
      </c>
      <c r="N22" s="90">
        <f>SUM(B23:B24)</f>
        <v>0</v>
      </c>
      <c r="O22" s="68">
        <f t="shared" si="2"/>
        <v>0</v>
      </c>
      <c r="P22" s="91" t="s">
        <v>254</v>
      </c>
    </row>
    <row r="23" spans="1:38" ht="15" x14ac:dyDescent="0.25">
      <c r="A23" s="8" t="str">
        <f>Input!C40</f>
        <v>Year 9</v>
      </c>
      <c r="B23" s="64">
        <f>Input!D40</f>
        <v>0</v>
      </c>
      <c r="C23" s="83"/>
      <c r="H23" s="89">
        <v>18</v>
      </c>
      <c r="I23" s="89" t="s">
        <v>1</v>
      </c>
      <c r="J23" s="89" t="s">
        <v>84</v>
      </c>
      <c r="K23" s="89" t="s">
        <v>88</v>
      </c>
      <c r="L23" s="90" t="str">
        <f>O73</f>
        <v>OPS_Core_Comp_Rates</v>
      </c>
      <c r="M23" s="61">
        <f t="shared" si="3"/>
        <v>1288.92</v>
      </c>
      <c r="N23" s="90">
        <f>SUM(B25:B27)</f>
        <v>0</v>
      </c>
      <c r="O23" s="68">
        <f t="shared" si="2"/>
        <v>0</v>
      </c>
      <c r="P23" s="91" t="s">
        <v>255</v>
      </c>
      <c r="AK23"/>
    </row>
    <row r="24" spans="1:38" ht="15" x14ac:dyDescent="0.25">
      <c r="A24" s="8" t="str">
        <f>Input!C41</f>
        <v>Year 10</v>
      </c>
      <c r="B24" s="64">
        <f>Input!D41</f>
        <v>0</v>
      </c>
      <c r="C24" s="83"/>
      <c r="H24" s="89">
        <v>19</v>
      </c>
      <c r="I24" s="89" t="s">
        <v>1</v>
      </c>
      <c r="J24" s="89" t="s">
        <v>89</v>
      </c>
      <c r="K24" s="89" t="s">
        <v>90</v>
      </c>
      <c r="L24" s="90" t="str">
        <f>O73</f>
        <v>OPS_Core_Comp_Rates</v>
      </c>
      <c r="M24" s="61">
        <f t="shared" si="3"/>
        <v>15.55</v>
      </c>
      <c r="N24" s="90">
        <f>Primary_Roll</f>
        <v>0</v>
      </c>
      <c r="O24" s="68">
        <f t="shared" si="2"/>
        <v>0</v>
      </c>
      <c r="P24" s="91" t="s">
        <v>256</v>
      </c>
      <c r="AK24"/>
    </row>
    <row r="25" spans="1:38" ht="15" x14ac:dyDescent="0.25">
      <c r="A25" s="8" t="str">
        <f>Input!C42</f>
        <v>Year 11</v>
      </c>
      <c r="B25" s="64">
        <f>Input!D42</f>
        <v>0</v>
      </c>
      <c r="C25" s="83"/>
      <c r="H25" s="89">
        <v>20</v>
      </c>
      <c r="I25" s="89" t="s">
        <v>1</v>
      </c>
      <c r="J25" s="89" t="s">
        <v>91</v>
      </c>
      <c r="K25" s="89" t="s">
        <v>92</v>
      </c>
      <c r="L25" s="90" t="str">
        <f>O73</f>
        <v>OPS_Core_Comp_Rates</v>
      </c>
      <c r="M25" s="61">
        <f t="shared" si="3"/>
        <v>28.12</v>
      </c>
      <c r="N25" s="90">
        <f>Secondary_Roll</f>
        <v>0</v>
      </c>
      <c r="O25" s="68">
        <f t="shared" si="2"/>
        <v>0</v>
      </c>
      <c r="P25" s="91" t="s">
        <v>250</v>
      </c>
      <c r="AK25"/>
    </row>
    <row r="26" spans="1:38" ht="15" x14ac:dyDescent="0.25">
      <c r="A26" s="8" t="str">
        <f>Input!C43</f>
        <v>Year 12</v>
      </c>
      <c r="B26" s="64">
        <f>Input!D43</f>
        <v>0</v>
      </c>
      <c r="C26" s="83"/>
      <c r="H26" s="89">
        <v>21</v>
      </c>
      <c r="I26" s="89" t="s">
        <v>1</v>
      </c>
      <c r="J26" s="89" t="s">
        <v>93</v>
      </c>
      <c r="K26" s="89" t="s">
        <v>41</v>
      </c>
      <c r="L26" s="90" t="str">
        <f>O73</f>
        <v>OPS_Core_Comp_Rates</v>
      </c>
      <c r="M26" s="61">
        <f t="shared" si="3"/>
        <v>2175.42</v>
      </c>
      <c r="N26" s="90">
        <f>B39</f>
        <v>0</v>
      </c>
      <c r="O26" s="68">
        <f t="shared" si="2"/>
        <v>0</v>
      </c>
      <c r="P26" s="91" t="s">
        <v>257</v>
      </c>
      <c r="AK26"/>
    </row>
    <row r="27" spans="1:38" ht="15" x14ac:dyDescent="0.25">
      <c r="A27" s="8" t="str">
        <f>Input!C44</f>
        <v>Year 13</v>
      </c>
      <c r="B27" s="64">
        <f>Input!D44</f>
        <v>0</v>
      </c>
      <c r="C27" s="83"/>
      <c r="H27" s="89">
        <v>22</v>
      </c>
      <c r="I27" s="89" t="s">
        <v>1</v>
      </c>
      <c r="J27" s="89" t="s">
        <v>93</v>
      </c>
      <c r="K27" s="89" t="s">
        <v>42</v>
      </c>
      <c r="L27" s="90" t="str">
        <f>O73</f>
        <v>OPS_Core_Comp_Rates</v>
      </c>
      <c r="M27" s="61">
        <f t="shared" si="3"/>
        <v>554.17999999999995</v>
      </c>
      <c r="N27" s="90">
        <f>B40</f>
        <v>0</v>
      </c>
      <c r="O27" s="68">
        <f t="shared" si="2"/>
        <v>0</v>
      </c>
      <c r="P27" s="91" t="s">
        <v>258</v>
      </c>
      <c r="AK27"/>
    </row>
    <row r="28" spans="1:38" ht="15" x14ac:dyDescent="0.25">
      <c r="A28" s="8" t="s">
        <v>240</v>
      </c>
      <c r="B28" s="66">
        <f>SUM(B15:B22)</f>
        <v>0</v>
      </c>
      <c r="H28" s="89">
        <v>23</v>
      </c>
      <c r="I28" s="89" t="s">
        <v>1</v>
      </c>
      <c r="J28" s="89" t="s">
        <v>93</v>
      </c>
      <c r="K28" s="89" t="s">
        <v>43</v>
      </c>
      <c r="L28" s="90" t="str">
        <f>O73</f>
        <v>OPS_Core_Comp_Rates</v>
      </c>
      <c r="M28" s="61">
        <f t="shared" si="3"/>
        <v>298.69</v>
      </c>
      <c r="N28" s="90">
        <f>B41</f>
        <v>0</v>
      </c>
      <c r="O28" s="68">
        <f t="shared" si="2"/>
        <v>0</v>
      </c>
      <c r="P28" s="91" t="s">
        <v>259</v>
      </c>
      <c r="AK28"/>
    </row>
    <row r="29" spans="1:38" ht="15" x14ac:dyDescent="0.25">
      <c r="A29" s="8" t="s">
        <v>241</v>
      </c>
      <c r="B29" s="66">
        <f>SUM(B23:B27)</f>
        <v>0</v>
      </c>
      <c r="H29" s="89">
        <v>24</v>
      </c>
      <c r="I29" s="89" t="s">
        <v>1</v>
      </c>
      <c r="J29" s="89" t="s">
        <v>93</v>
      </c>
      <c r="K29" s="89" t="s">
        <v>44</v>
      </c>
      <c r="L29" s="90" t="str">
        <f>O73</f>
        <v>OPS_Core_Comp_Rates</v>
      </c>
      <c r="M29" s="61">
        <f t="shared" si="3"/>
        <v>72.510000000000005</v>
      </c>
      <c r="N29" s="90">
        <f>B42</f>
        <v>0</v>
      </c>
      <c r="O29" s="68">
        <f>N29*M29</f>
        <v>0</v>
      </c>
      <c r="P29" s="91" t="s">
        <v>260</v>
      </c>
      <c r="AK29"/>
    </row>
    <row r="30" spans="1:38" x14ac:dyDescent="0.3">
      <c r="A30" s="8" t="s">
        <v>239</v>
      </c>
      <c r="B30" s="66">
        <f>SUM(B28:B29)</f>
        <v>0</v>
      </c>
      <c r="H30" s="89">
        <v>25</v>
      </c>
      <c r="I30" s="89" t="s">
        <v>1</v>
      </c>
      <c r="J30" s="89" t="s">
        <v>94</v>
      </c>
      <c r="K30" s="119" t="s">
        <v>95</v>
      </c>
      <c r="L30" s="90" t="str">
        <f>O73</f>
        <v>OPS_Core_Comp_Rates</v>
      </c>
      <c r="M30" s="61">
        <f>IF(AND(B9,EQI&gt;=431),Q86,0)</f>
        <v>0</v>
      </c>
      <c r="N30" s="90">
        <f>Total_Roll</f>
        <v>0</v>
      </c>
      <c r="O30" s="68">
        <f>IF(B9=TRUE,N30*M30,0)</f>
        <v>0</v>
      </c>
      <c r="P30" s="91" t="s">
        <v>331</v>
      </c>
    </row>
    <row r="31" spans="1:38" x14ac:dyDescent="0.3">
      <c r="H31" s="89">
        <v>26</v>
      </c>
      <c r="I31" s="89" t="s">
        <v>1</v>
      </c>
      <c r="J31" s="89" t="s">
        <v>97</v>
      </c>
      <c r="K31" s="119" t="s">
        <v>41</v>
      </c>
      <c r="L31" s="90" t="str">
        <f>O73</f>
        <v>OPS_Core_Comp_Rates</v>
      </c>
      <c r="M31" s="61">
        <f>Q87</f>
        <v>1135.53</v>
      </c>
      <c r="N31" s="90">
        <f>B46</f>
        <v>0</v>
      </c>
      <c r="O31" s="68">
        <f>N31*M31</f>
        <v>0</v>
      </c>
      <c r="P31" s="91" t="s">
        <v>264</v>
      </c>
    </row>
    <row r="32" spans="1:38" x14ac:dyDescent="0.3">
      <c r="A32" s="8" t="s">
        <v>242</v>
      </c>
      <c r="B32" s="7">
        <f>MIN(100,Total_Roll)</f>
        <v>0</v>
      </c>
      <c r="C32" s="10" t="s">
        <v>243</v>
      </c>
      <c r="H32" s="89">
        <v>27</v>
      </c>
      <c r="I32" s="89" t="s">
        <v>1</v>
      </c>
      <c r="J32" s="89" t="s">
        <v>97</v>
      </c>
      <c r="K32" s="119" t="s">
        <v>42</v>
      </c>
      <c r="L32" s="90" t="str">
        <f>O73</f>
        <v>OPS_Core_Comp_Rates</v>
      </c>
      <c r="M32" s="61">
        <f>Q88</f>
        <v>554.17999999999995</v>
      </c>
      <c r="N32" s="90">
        <f>B47</f>
        <v>0</v>
      </c>
      <c r="O32" s="68">
        <f>N32*M32</f>
        <v>0</v>
      </c>
      <c r="P32" s="91" t="s">
        <v>263</v>
      </c>
    </row>
    <row r="33" spans="1:17" x14ac:dyDescent="0.3">
      <c r="A33" s="8" t="s">
        <v>235</v>
      </c>
      <c r="B33" s="7">
        <f>IF(B4="Primary",MIN(100,B30),MIN(200,B30))</f>
        <v>0</v>
      </c>
      <c r="C33" s="10" t="s">
        <v>96</v>
      </c>
      <c r="H33" s="89">
        <v>28</v>
      </c>
      <c r="I33" s="89" t="s">
        <v>1</v>
      </c>
      <c r="J33" s="89" t="s">
        <v>10</v>
      </c>
      <c r="K33" s="89" t="s">
        <v>100</v>
      </c>
      <c r="L33" s="90" t="str">
        <f>O73</f>
        <v>OPS_Core_Comp_Rates</v>
      </c>
      <c r="M33" s="61">
        <f>Q89</f>
        <v>925.31</v>
      </c>
      <c r="N33" s="90">
        <f>MIN(30,SUM(B25:B27))</f>
        <v>0</v>
      </c>
      <c r="O33" s="68">
        <f t="shared" ref="O33:O34" si="4">N33*M33</f>
        <v>0</v>
      </c>
      <c r="P33" s="91" t="s">
        <v>265</v>
      </c>
    </row>
    <row r="34" spans="1:17" x14ac:dyDescent="0.3">
      <c r="A34" s="8" t="s">
        <v>236</v>
      </c>
      <c r="B34" s="7">
        <f>B30-B33</f>
        <v>0</v>
      </c>
      <c r="C34" s="10" t="s">
        <v>99</v>
      </c>
      <c r="H34" s="89">
        <v>29</v>
      </c>
      <c r="I34" s="89" t="s">
        <v>1</v>
      </c>
      <c r="J34" s="89" t="s">
        <v>10</v>
      </c>
      <c r="K34" s="89" t="s">
        <v>101</v>
      </c>
      <c r="L34" s="90" t="str">
        <f>O73</f>
        <v>OPS_Core_Comp_Rates</v>
      </c>
      <c r="M34" s="61">
        <f>Q90</f>
        <v>162.6</v>
      </c>
      <c r="N34" s="90">
        <f>MAX(0,SUM(B25:B27)-30)</f>
        <v>0</v>
      </c>
      <c r="O34" s="68">
        <f t="shared" si="4"/>
        <v>0</v>
      </c>
      <c r="P34" s="91" t="s">
        <v>266</v>
      </c>
    </row>
    <row r="35" spans="1:17" x14ac:dyDescent="0.3">
      <c r="A35" s="8" t="s">
        <v>237</v>
      </c>
      <c r="B35" s="7">
        <f>SUM(B39:B40)</f>
        <v>0</v>
      </c>
      <c r="H35" s="89">
        <v>30</v>
      </c>
      <c r="I35" s="89" t="s">
        <v>1</v>
      </c>
      <c r="J35" s="89" t="s">
        <v>9</v>
      </c>
      <c r="K35" s="89" t="s">
        <v>102</v>
      </c>
      <c r="L35" s="90" t="str">
        <f>O73</f>
        <v>OPS_Core_Comp_Rates</v>
      </c>
      <c r="M35" s="61">
        <f>IF(Isolation_Index&gt;=1.27,Q91,0)</f>
        <v>0</v>
      </c>
      <c r="N35" s="90"/>
      <c r="O35" s="68">
        <f>(Isolation_Index^2)*M35</f>
        <v>0</v>
      </c>
      <c r="P35" s="91" t="s">
        <v>267</v>
      </c>
    </row>
    <row r="36" spans="1:17" x14ac:dyDescent="0.3">
      <c r="A36" s="8" t="s">
        <v>238</v>
      </c>
      <c r="B36" s="7">
        <f>SUM(B46:B47)</f>
        <v>0</v>
      </c>
      <c r="H36" s="89">
        <v>31</v>
      </c>
      <c r="I36" s="89" t="s">
        <v>1</v>
      </c>
      <c r="J36" s="89" t="s">
        <v>103</v>
      </c>
      <c r="K36" s="89" t="s">
        <v>19</v>
      </c>
      <c r="L36" s="90" t="str">
        <f>S73</f>
        <v>OPS_Base_Funding</v>
      </c>
      <c r="M36" s="61"/>
      <c r="N36" s="90">
        <f>SUMIF(School_Type,K36,Total_Roll)</f>
        <v>0</v>
      </c>
      <c r="O36" s="68">
        <f>VLOOKUP($N36,$T$75:$V$80,2)+VLOOKUP($N36,$T$75:$V$80,3)*($N36-VLOOKUP($N36,$T$75:$V$80,1))</f>
        <v>0</v>
      </c>
      <c r="P36" s="91" t="s">
        <v>269</v>
      </c>
      <c r="Q36" s="1" t="s">
        <v>268</v>
      </c>
    </row>
    <row r="37" spans="1:17" x14ac:dyDescent="0.3">
      <c r="H37" s="89">
        <v>32</v>
      </c>
      <c r="I37" s="89" t="s">
        <v>1</v>
      </c>
      <c r="J37" s="89" t="s">
        <v>103</v>
      </c>
      <c r="K37" s="89" t="s">
        <v>22</v>
      </c>
      <c r="L37" s="90" t="str">
        <f>S73</f>
        <v>OPS_Base_Funding</v>
      </c>
      <c r="M37" s="62"/>
      <c r="N37" s="90">
        <f>SUMIF(School_Type,K37,Total_Roll)</f>
        <v>0</v>
      </c>
      <c r="O37" s="68">
        <f>VLOOKUP($N37,$T$81:$V$85,2)+VLOOKUP($N37,$T$81:$V$85,3)*($N37-VLOOKUP($N37,$T$81:$V$85,1))</f>
        <v>0</v>
      </c>
      <c r="P37" s="91" t="s">
        <v>269</v>
      </c>
      <c r="Q37" s="1" t="s">
        <v>268</v>
      </c>
    </row>
    <row r="38" spans="1:17" x14ac:dyDescent="0.3">
      <c r="A38" s="2" t="s">
        <v>228</v>
      </c>
      <c r="H38" s="89">
        <v>33</v>
      </c>
      <c r="I38" s="89" t="s">
        <v>1</v>
      </c>
      <c r="J38" s="89" t="s">
        <v>103</v>
      </c>
      <c r="K38" s="89" t="s">
        <v>21</v>
      </c>
      <c r="L38" s="90" t="str">
        <f>S73</f>
        <v>OPS_Base_Funding</v>
      </c>
      <c r="M38" s="61"/>
      <c r="N38" s="90">
        <f>SUMIF(School_Type,K38,Total_Roll)</f>
        <v>0</v>
      </c>
      <c r="O38" s="68">
        <f>VLOOKUP($N38,$T$86:$V$90,2)+VLOOKUP($N38,$T$86:$V$90,3)*($N38-VLOOKUP($N38,$T$86:$V$90,1))</f>
        <v>0</v>
      </c>
      <c r="P38" s="91" t="s">
        <v>269</v>
      </c>
      <c r="Q38" s="1" t="s">
        <v>268</v>
      </c>
    </row>
    <row r="39" spans="1:17" x14ac:dyDescent="0.3">
      <c r="A39" s="8" t="str">
        <f>Input!C48</f>
        <v>Level 1</v>
      </c>
      <c r="B39" s="64">
        <f>Input!D48</f>
        <v>0</v>
      </c>
      <c r="C39" s="10" t="s">
        <v>104</v>
      </c>
      <c r="H39" s="89">
        <v>34</v>
      </c>
      <c r="I39" s="89" t="s">
        <v>2</v>
      </c>
      <c r="J39" s="89" t="s">
        <v>11</v>
      </c>
      <c r="K39" s="89" t="s">
        <v>105</v>
      </c>
      <c r="L39" s="90" t="s">
        <v>106</v>
      </c>
      <c r="M39" s="63">
        <f>Y75</f>
        <v>46.62</v>
      </c>
      <c r="N39" s="88">
        <f>Total_Roll</f>
        <v>0</v>
      </c>
      <c r="O39" s="68">
        <f>N39*M39</f>
        <v>0</v>
      </c>
      <c r="P39" s="91" t="s">
        <v>248</v>
      </c>
    </row>
    <row r="40" spans="1:17" x14ac:dyDescent="0.3">
      <c r="A40" s="8" t="str">
        <f>Input!C49</f>
        <v>Level 2</v>
      </c>
      <c r="B40" s="64">
        <f>Input!D49</f>
        <v>0</v>
      </c>
      <c r="C40" s="84"/>
      <c r="H40" s="89">
        <v>35</v>
      </c>
      <c r="I40" s="89" t="s">
        <v>2</v>
      </c>
      <c r="J40" s="89" t="s">
        <v>12</v>
      </c>
      <c r="K40" s="89" t="s">
        <v>105</v>
      </c>
      <c r="L40" s="90" t="s">
        <v>106</v>
      </c>
      <c r="M40" s="63">
        <f>Y76</f>
        <v>12.53</v>
      </c>
      <c r="N40" s="88">
        <f>Total_Roll</f>
        <v>0</v>
      </c>
      <c r="O40" s="68">
        <f>N40*M40</f>
        <v>0</v>
      </c>
      <c r="P40" s="91" t="s">
        <v>248</v>
      </c>
    </row>
    <row r="41" spans="1:17" x14ac:dyDescent="0.3">
      <c r="A41" s="8" t="str">
        <f>Input!C50</f>
        <v>Level 3</v>
      </c>
      <c r="B41" s="64">
        <f>Input!D50</f>
        <v>0</v>
      </c>
      <c r="H41" s="89">
        <v>36</v>
      </c>
      <c r="I41" s="89" t="s">
        <v>2</v>
      </c>
      <c r="J41" s="89" t="s">
        <v>13</v>
      </c>
      <c r="K41" s="89" t="s">
        <v>105</v>
      </c>
      <c r="L41" s="90" t="s">
        <v>106</v>
      </c>
      <c r="M41" s="63">
        <f>Y77</f>
        <v>76.56</v>
      </c>
      <c r="N41" s="88">
        <f>Total_Roll</f>
        <v>0</v>
      </c>
      <c r="O41" s="68">
        <f>N41*M41</f>
        <v>0</v>
      </c>
      <c r="P41" s="91" t="s">
        <v>248</v>
      </c>
    </row>
    <row r="42" spans="1:17" x14ac:dyDescent="0.3">
      <c r="A42" s="8" t="str">
        <f>Input!C51</f>
        <v>Level 4</v>
      </c>
      <c r="B42" s="64">
        <f>Input!D51</f>
        <v>0</v>
      </c>
      <c r="H42" s="89">
        <v>37</v>
      </c>
      <c r="I42" s="89" t="s">
        <v>1</v>
      </c>
      <c r="J42" s="89" t="s">
        <v>57</v>
      </c>
      <c r="K42" s="119" t="s">
        <v>95</v>
      </c>
      <c r="L42" s="90" t="str">
        <f>$O$73</f>
        <v>OPS_Core_Comp_Rates</v>
      </c>
      <c r="M42" s="63">
        <f t="shared" ref="M42:M48" si="5">Q92</f>
        <v>-13.04</v>
      </c>
      <c r="N42" s="88">
        <f>Total_Roll</f>
        <v>0</v>
      </c>
      <c r="O42" s="68">
        <f>IF(B8=TRUE,Calculation!M42*Calculation!N42,0)</f>
        <v>0</v>
      </c>
      <c r="P42" s="91" t="s">
        <v>270</v>
      </c>
    </row>
    <row r="43" spans="1:17" x14ac:dyDescent="0.3">
      <c r="A43" s="8" t="s">
        <v>14</v>
      </c>
      <c r="B43" s="65">
        <f>SUM(B39:B42)</f>
        <v>0</v>
      </c>
      <c r="H43" s="89">
        <v>38</v>
      </c>
      <c r="I43" s="89" t="s">
        <v>1</v>
      </c>
      <c r="J43" s="89" t="s">
        <v>51</v>
      </c>
      <c r="K43" s="89" t="s">
        <v>30</v>
      </c>
      <c r="L43" s="90" t="str">
        <f t="shared" ref="L43:L48" si="6">$O$73</f>
        <v>OPS_Core_Comp_Rates</v>
      </c>
      <c r="M43" s="63">
        <f t="shared" si="5"/>
        <v>3.84</v>
      </c>
      <c r="N43" s="88">
        <f t="shared" ref="N43:N48" si="7">SUMIF($B$7,K43,Total_Roll)</f>
        <v>0</v>
      </c>
      <c r="O43" s="68">
        <f>N43*M43</f>
        <v>0</v>
      </c>
      <c r="P43" s="91" t="str">
        <f>_xlfn.CONCAT("If Vandalism Rating  =  ", K43, " = Rate * Total_Roll ")</f>
        <v xml:space="preserve">If Vandalism Rating  =  Low Risk = Rate * Total_Roll </v>
      </c>
    </row>
    <row r="44" spans="1:17" x14ac:dyDescent="0.3">
      <c r="C44" s="10"/>
      <c r="H44" s="18">
        <v>39</v>
      </c>
      <c r="I44" s="20" t="s">
        <v>1</v>
      </c>
      <c r="J44" s="19" t="s">
        <v>51</v>
      </c>
      <c r="K44" s="19" t="s">
        <v>32</v>
      </c>
      <c r="L44" s="44" t="str">
        <f t="shared" si="6"/>
        <v>OPS_Core_Comp_Rates</v>
      </c>
      <c r="M44" s="63">
        <f t="shared" si="5"/>
        <v>11.52</v>
      </c>
      <c r="N44" s="8">
        <f t="shared" si="7"/>
        <v>0</v>
      </c>
      <c r="O44" s="68">
        <f t="shared" ref="O44:O53" si="8">N44*M44</f>
        <v>0</v>
      </c>
      <c r="P44" s="91" t="str">
        <f>_xlfn.CONCAT("If Vandalism Rating  =  ", K44, " = Rate * Total_Roll ")</f>
        <v xml:space="preserve">If Vandalism Rating  =  Medium Risk = Rate * Total_Roll </v>
      </c>
    </row>
    <row r="45" spans="1:17" x14ac:dyDescent="0.3">
      <c r="A45" s="2" t="s">
        <v>229</v>
      </c>
      <c r="C45" s="10"/>
      <c r="H45" s="18">
        <v>40</v>
      </c>
      <c r="I45" s="20" t="s">
        <v>1</v>
      </c>
      <c r="J45" s="19" t="s">
        <v>51</v>
      </c>
      <c r="K45" s="19" t="s">
        <v>33</v>
      </c>
      <c r="L45" s="44" t="str">
        <f t="shared" si="6"/>
        <v>OPS_Core_Comp_Rates</v>
      </c>
      <c r="M45" s="63">
        <f t="shared" si="5"/>
        <v>19.23</v>
      </c>
      <c r="N45" s="88">
        <f t="shared" si="7"/>
        <v>0</v>
      </c>
      <c r="O45" s="68">
        <f t="shared" si="8"/>
        <v>0</v>
      </c>
      <c r="P45" s="91" t="str">
        <f>_xlfn.CONCAT("If Vandalism Rating  =  ", K45, " = Rate * Total_Roll ")</f>
        <v xml:space="preserve">If Vandalism Rating  =  High Risk = Rate * Total_Roll </v>
      </c>
    </row>
    <row r="46" spans="1:17" x14ac:dyDescent="0.3">
      <c r="A46" s="8" t="str">
        <f>Input!C56</f>
        <v>Level 1</v>
      </c>
      <c r="B46" s="64">
        <f>Input!D56</f>
        <v>0</v>
      </c>
      <c r="C46" s="10"/>
      <c r="H46" s="18">
        <v>41</v>
      </c>
      <c r="I46" s="20" t="s">
        <v>1</v>
      </c>
      <c r="J46" s="19" t="s">
        <v>51</v>
      </c>
      <c r="K46" s="19" t="s">
        <v>34</v>
      </c>
      <c r="L46" s="44" t="str">
        <f t="shared" si="6"/>
        <v>OPS_Core_Comp_Rates</v>
      </c>
      <c r="M46" s="63">
        <f t="shared" si="5"/>
        <v>26.89</v>
      </c>
      <c r="N46" s="88">
        <f t="shared" si="7"/>
        <v>0</v>
      </c>
      <c r="O46" s="68">
        <f t="shared" si="8"/>
        <v>0</v>
      </c>
      <c r="P46" s="91" t="str">
        <f>_xlfn.CONCAT("If Vandalism Rating  =  ", K46, " = Rate * Total_Roll ")</f>
        <v xml:space="preserve">If Vandalism Rating  =  Critical Risk = Rate * Total_Roll </v>
      </c>
    </row>
    <row r="47" spans="1:17" x14ac:dyDescent="0.3">
      <c r="A47" s="8" t="str">
        <f>Input!C57</f>
        <v>Level 2</v>
      </c>
      <c r="B47" s="64">
        <f>Input!D57</f>
        <v>0</v>
      </c>
      <c r="C47" s="10"/>
      <c r="H47" s="18">
        <v>42</v>
      </c>
      <c r="I47" s="20" t="s">
        <v>1</v>
      </c>
      <c r="J47" s="19" t="s">
        <v>51</v>
      </c>
      <c r="K47" s="19" t="s">
        <v>36</v>
      </c>
      <c r="L47" s="44" t="str">
        <f t="shared" si="6"/>
        <v>OPS_Core_Comp_Rates</v>
      </c>
      <c r="M47" s="63">
        <f t="shared" si="5"/>
        <v>30.72</v>
      </c>
      <c r="N47" s="88">
        <f t="shared" si="7"/>
        <v>0</v>
      </c>
      <c r="O47" s="68">
        <f t="shared" si="8"/>
        <v>0</v>
      </c>
      <c r="P47" s="91" t="str">
        <f>_xlfn.CONCAT("If Vandalism Rating  =  ", K47, " = Rate * Total_Roll ")</f>
        <v xml:space="preserve">If Vandalism Rating  =  Extreme Risk = Rate * Total_Roll </v>
      </c>
    </row>
    <row r="48" spans="1:17" x14ac:dyDescent="0.3">
      <c r="C48" s="10"/>
      <c r="H48" s="18">
        <v>43</v>
      </c>
      <c r="I48" s="20" t="s">
        <v>1</v>
      </c>
      <c r="J48" s="19" t="s">
        <v>51</v>
      </c>
      <c r="K48" s="19" t="s">
        <v>37</v>
      </c>
      <c r="L48" s="44" t="str">
        <f t="shared" si="6"/>
        <v>OPS_Core_Comp_Rates</v>
      </c>
      <c r="M48" s="63">
        <f t="shared" si="5"/>
        <v>0</v>
      </c>
      <c r="N48" s="88">
        <f t="shared" si="7"/>
        <v>0</v>
      </c>
      <c r="O48" s="68">
        <f t="shared" si="8"/>
        <v>0</v>
      </c>
      <c r="P48" s="91" t="s">
        <v>271</v>
      </c>
    </row>
    <row r="49" spans="3:16" x14ac:dyDescent="0.3">
      <c r="C49" s="10"/>
      <c r="H49" s="89">
        <v>44</v>
      </c>
      <c r="I49" s="89" t="s">
        <v>107</v>
      </c>
      <c r="J49" s="89" t="s">
        <v>108</v>
      </c>
      <c r="K49" s="89" t="s">
        <v>109</v>
      </c>
      <c r="L49" s="88" t="str">
        <f>$AA$73</f>
        <v>Establishment funding ops</v>
      </c>
      <c r="M49" s="110" cm="1">
        <f t="array" ref="M49">IF($B$10, _xlfn.IFS(School_Type="Primary", $AB$75, School_Type="Secondary", $AB$76, School_Type="Composite", $AB$77), 0)</f>
        <v>0</v>
      </c>
      <c r="N49" s="88">
        <f>IF(Total_Roll&gt;200, 200, Total_Roll)</f>
        <v>0</v>
      </c>
      <c r="O49" s="111">
        <f t="shared" si="8"/>
        <v>0</v>
      </c>
      <c r="P49" s="91" t="s">
        <v>273</v>
      </c>
    </row>
    <row r="50" spans="3:16" x14ac:dyDescent="0.3">
      <c r="C50" s="10"/>
      <c r="H50" s="89">
        <v>45</v>
      </c>
      <c r="I50" s="89" t="s">
        <v>107</v>
      </c>
      <c r="J50" s="89" t="s">
        <v>108</v>
      </c>
      <c r="K50" s="89" t="s">
        <v>110</v>
      </c>
      <c r="L50" s="88" t="str">
        <f>$AA$73</f>
        <v>Establishment funding ops</v>
      </c>
      <c r="M50" s="110" cm="1">
        <f t="array" ref="M50">IF($B$10, _xlfn.IFS(School_Type="Primary", $AC$75, School_Type="Secondary", $AC$76, School_Type="Composite", $AC$77), 0)</f>
        <v>0</v>
      </c>
      <c r="N50" s="88">
        <f>IF(Total_Roll&gt;200, Total_Roll-200, 0)</f>
        <v>0</v>
      </c>
      <c r="O50" s="111">
        <f t="shared" si="8"/>
        <v>0</v>
      </c>
      <c r="P50" s="91" t="s">
        <v>274</v>
      </c>
    </row>
    <row r="51" spans="3:16" x14ac:dyDescent="0.3">
      <c r="H51" s="89">
        <v>46</v>
      </c>
      <c r="I51" s="89" t="s">
        <v>107</v>
      </c>
      <c r="J51" s="89" t="s">
        <v>111</v>
      </c>
      <c r="K51" s="89" t="s">
        <v>112</v>
      </c>
      <c r="L51" s="88" t="str">
        <f>$AA$80</f>
        <v>Establishment senior management</v>
      </c>
      <c r="M51" s="110" cm="1">
        <f t="array" ref="M51">IF($B$10, _xlfn.IFS(School_Type="Primary", $AC$82, School_Type="Secondary", $AC$83, School_Type="Composite", $AC$83), 0)</f>
        <v>0</v>
      </c>
      <c r="N51" s="88">
        <f>IF(Total_Roll&gt;200, 200, Total_Roll)</f>
        <v>0</v>
      </c>
      <c r="O51" s="111">
        <f t="shared" si="8"/>
        <v>0</v>
      </c>
      <c r="P51" s="91" t="s">
        <v>273</v>
      </c>
    </row>
    <row r="52" spans="3:16" x14ac:dyDescent="0.3">
      <c r="H52" s="89">
        <v>47</v>
      </c>
      <c r="I52" s="89" t="s">
        <v>107</v>
      </c>
      <c r="J52" s="89" t="s">
        <v>113</v>
      </c>
      <c r="K52" s="89" t="s">
        <v>112</v>
      </c>
      <c r="L52" s="88" t="str">
        <f>$AA$80</f>
        <v>Establishment senior management</v>
      </c>
      <c r="M52" s="110" cm="1">
        <f t="array" ref="M52">IF($B$10,_xlfn.IFS(School_Type="Primary", 0, School_Type="Secondary", $AC$84, School_Type="Composite", $AC$84), 0)</f>
        <v>0</v>
      </c>
      <c r="N52" s="88">
        <f>IF(Total_Roll&gt;200, 200, Total_Roll)</f>
        <v>0</v>
      </c>
      <c r="O52" s="111">
        <f t="shared" si="8"/>
        <v>0</v>
      </c>
      <c r="P52" s="91" t="s">
        <v>350</v>
      </c>
    </row>
    <row r="53" spans="3:16" x14ac:dyDescent="0.3">
      <c r="H53" s="112">
        <v>48</v>
      </c>
      <c r="I53" s="112" t="s">
        <v>107</v>
      </c>
      <c r="J53" s="112" t="s">
        <v>114</v>
      </c>
      <c r="K53" s="112" t="s">
        <v>239</v>
      </c>
      <c r="L53" s="113" t="str">
        <f>$AA$87</f>
        <v>Establishment staffing rates</v>
      </c>
      <c r="M53" s="114" cm="1">
        <f t="array" ref="M53">IF($B$10, _xlfn.IFS(School_Type="Primary", $AB$89, School_Type="Secondary", $AB$90, School_Type="Composite", $AB$91), 0)</f>
        <v>0</v>
      </c>
      <c r="N53" s="113">
        <f>Total_Roll</f>
        <v>0</v>
      </c>
      <c r="O53" s="115">
        <f t="shared" si="8"/>
        <v>0</v>
      </c>
      <c r="P53" s="91" t="s">
        <v>275</v>
      </c>
    </row>
    <row r="54" spans="3:16" x14ac:dyDescent="0.3">
      <c r="H54" s="89">
        <v>49</v>
      </c>
      <c r="I54" s="89" t="s">
        <v>70</v>
      </c>
      <c r="J54" s="88"/>
      <c r="K54" s="89" t="s">
        <v>115</v>
      </c>
      <c r="L54" s="90" t="str">
        <f>A73</f>
        <v>Rate_Table</v>
      </c>
      <c r="M54" s="88">
        <f>SUMIFS(Rate_Table[Rate],Rate_Table[Component],I54,Rate_Table[Student Type],K54,Rate_Table[School Type],School_Type)</f>
        <v>221.38</v>
      </c>
      <c r="N54" s="88">
        <f>B36</f>
        <v>0</v>
      </c>
      <c r="O54" s="88">
        <f>N54*M54</f>
        <v>0</v>
      </c>
      <c r="P54" s="91" t="s">
        <v>272</v>
      </c>
    </row>
    <row r="55" spans="3:16" x14ac:dyDescent="0.3">
      <c r="H55" s="112">
        <v>50</v>
      </c>
      <c r="I55" s="112" t="s">
        <v>1</v>
      </c>
      <c r="J55" s="112" t="s">
        <v>116</v>
      </c>
      <c r="K55" s="112" t="s">
        <v>71</v>
      </c>
      <c r="L55" s="113" t="str">
        <f>$S$93</f>
        <v>OPS_Non-Teacher-Top-up</v>
      </c>
      <c r="M55" s="113">
        <f>SUMIFS(Rate_Table16[Rate],Rate_Table16[School Type],School_Type,Rate_Table16[Student Type],K55)</f>
        <v>1.1499999999999999</v>
      </c>
      <c r="N55" s="116">
        <f>First_Students</f>
        <v>0</v>
      </c>
      <c r="O55" s="113">
        <f>M55*N55*EQI</f>
        <v>0</v>
      </c>
      <c r="P55" s="91" t="s">
        <v>117</v>
      </c>
    </row>
    <row r="56" spans="3:16" x14ac:dyDescent="0.3">
      <c r="H56" s="89">
        <v>51</v>
      </c>
      <c r="I56" s="89" t="s">
        <v>1</v>
      </c>
      <c r="J56" s="89" t="s">
        <v>116</v>
      </c>
      <c r="K56" s="89" t="s">
        <v>72</v>
      </c>
      <c r="L56" s="88" t="str">
        <f>$S$93</f>
        <v>OPS_Non-Teacher-Top-up</v>
      </c>
      <c r="M56" s="88">
        <f>SUMIFS(Rate_Table16[Rate],Rate_Table16[School Type],School_Type,Rate_Table16[Student Type],K56)</f>
        <v>0.57999999999999996</v>
      </c>
      <c r="N56" s="90">
        <f>Extra_Students</f>
        <v>0</v>
      </c>
      <c r="O56" s="88">
        <f>M56*N56*EQI</f>
        <v>0</v>
      </c>
      <c r="P56" s="91" t="s">
        <v>117</v>
      </c>
    </row>
    <row r="57" spans="3:16" x14ac:dyDescent="0.3">
      <c r="H57" s="89">
        <v>52</v>
      </c>
      <c r="I57" s="89" t="s">
        <v>107</v>
      </c>
      <c r="J57" s="88" t="s">
        <v>118</v>
      </c>
      <c r="K57" s="89" t="s">
        <v>119</v>
      </c>
      <c r="L57" s="88" t="str">
        <f>AA94</f>
        <v>Establishment funding principal</v>
      </c>
      <c r="M57" s="88">
        <f>IF(B10,VLOOKUP(Total_Roll,AB96:AD111,3),0)</f>
        <v>0</v>
      </c>
      <c r="N57" s="88"/>
      <c r="O57" s="88">
        <f>M57</f>
        <v>0</v>
      </c>
      <c r="P57" s="91" t="s">
        <v>276</v>
      </c>
    </row>
    <row r="58" spans="3:16" x14ac:dyDescent="0.3">
      <c r="H58" s="89">
        <v>53</v>
      </c>
      <c r="I58" s="89" t="s">
        <v>0</v>
      </c>
      <c r="J58" s="88" t="s">
        <v>120</v>
      </c>
      <c r="K58" s="89" t="s">
        <v>119</v>
      </c>
      <c r="L58" s="88" t="str">
        <f>AA114</f>
        <v>Establishment Furniture and Equipment Rates (New Schools - non-Ministry property)</v>
      </c>
      <c r="M58" s="88" cm="1">
        <f t="array" ref="M58">SUMPRODUCT((Table22[Rate]) * (B10=TRUE) * ((B11="Sponsor owned") + (B11="Leased from third party")) * (Table22[School type]=School_Type))</f>
        <v>0</v>
      </c>
      <c r="N58" s="88">
        <f>Total_Roll</f>
        <v>0</v>
      </c>
      <c r="O58" s="88">
        <f>N58*M58</f>
        <v>0</v>
      </c>
      <c r="P58" s="91" t="s">
        <v>277</v>
      </c>
    </row>
    <row r="59" spans="3:16" x14ac:dyDescent="0.3">
      <c r="H59" s="89">
        <v>54</v>
      </c>
      <c r="I59" s="89" t="s">
        <v>121</v>
      </c>
      <c r="J59" s="88" t="s">
        <v>122</v>
      </c>
      <c r="K59" s="89" t="s">
        <v>71</v>
      </c>
      <c r="L59" s="88" t="str">
        <f>AG73</f>
        <v>Property Maintenance rates</v>
      </c>
      <c r="M59" s="88">
        <f>SUMIFS(estab_rates19[Rate],estab_rates19[Student type],K59,estab_rates19[School type],School_Type)</f>
        <v>166.12</v>
      </c>
      <c r="N59" s="88">
        <f>First_Students</f>
        <v>0</v>
      </c>
      <c r="O59" s="88">
        <f t="shared" ref="O59:O62" si="9">N59*M59</f>
        <v>0</v>
      </c>
      <c r="P59" s="91" t="s">
        <v>281</v>
      </c>
    </row>
    <row r="60" spans="3:16" x14ac:dyDescent="0.3">
      <c r="H60" s="89">
        <v>55</v>
      </c>
      <c r="I60" s="89" t="s">
        <v>121</v>
      </c>
      <c r="J60" s="88" t="s">
        <v>122</v>
      </c>
      <c r="K60" s="89" t="s">
        <v>72</v>
      </c>
      <c r="L60" s="88" t="str">
        <f>AG73</f>
        <v>Property Maintenance rates</v>
      </c>
      <c r="M60" s="88">
        <f>SUMIFS(estab_rates19[Rate],estab_rates19[Student type],K60,estab_rates19[School type],School_Type)</f>
        <v>77.209999999999994</v>
      </c>
      <c r="N60" s="88">
        <f>Extra_Students</f>
        <v>0</v>
      </c>
      <c r="O60" s="88">
        <f t="shared" si="9"/>
        <v>0</v>
      </c>
      <c r="P60" s="91" t="s">
        <v>282</v>
      </c>
    </row>
    <row r="61" spans="3:16" x14ac:dyDescent="0.3">
      <c r="H61" s="89">
        <v>56</v>
      </c>
      <c r="I61" s="89" t="s">
        <v>121</v>
      </c>
      <c r="J61" s="88" t="s">
        <v>123</v>
      </c>
      <c r="K61" s="89" t="s">
        <v>71</v>
      </c>
      <c r="L61" s="88" t="str">
        <f>AG111</f>
        <v>Furniture and Equipment Rates</v>
      </c>
      <c r="M61" s="88">
        <f>SUMIFS(estab_rates19202122[Rate],estab_rates19202122[Student type],K61,estab_rates19202122[School type],School_Type)</f>
        <v>56.83</v>
      </c>
      <c r="N61" s="88">
        <f>First_Students</f>
        <v>0</v>
      </c>
      <c r="O61" s="88">
        <f t="shared" si="9"/>
        <v>0</v>
      </c>
      <c r="P61" s="91" t="s">
        <v>281</v>
      </c>
    </row>
    <row r="62" spans="3:16" x14ac:dyDescent="0.3">
      <c r="H62" s="89">
        <v>57</v>
      </c>
      <c r="I62" s="89" t="s">
        <v>121</v>
      </c>
      <c r="J62" s="88" t="s">
        <v>123</v>
      </c>
      <c r="K62" s="89" t="s">
        <v>72</v>
      </c>
      <c r="L62" s="88" t="str">
        <f>AG111</f>
        <v>Furniture and Equipment Rates</v>
      </c>
      <c r="M62" s="88">
        <f>SUMIFS(estab_rates19202122[Rate],estab_rates19202122[Student type],K62,estab_rates19202122[School type],School_Type)</f>
        <v>14.28</v>
      </c>
      <c r="N62" s="88">
        <f>Extra_Students</f>
        <v>0</v>
      </c>
      <c r="O62" s="88">
        <f t="shared" si="9"/>
        <v>0</v>
      </c>
      <c r="P62" s="91" t="s">
        <v>282</v>
      </c>
    </row>
    <row r="63" spans="3:16" x14ac:dyDescent="0.3">
      <c r="H63" s="89">
        <v>58</v>
      </c>
      <c r="I63" s="89" t="s">
        <v>121</v>
      </c>
      <c r="J63" s="88" t="s">
        <v>124</v>
      </c>
      <c r="K63" s="89" t="s">
        <v>71</v>
      </c>
      <c r="L63" s="88" t="str">
        <f>AG83</f>
        <v>Capital Maintenance &amp; Lease Based Funding Rates</v>
      </c>
      <c r="M63" s="88">
        <f>SUM(
    IF(B11="Leased from third party",
        SUMIFS(estab_rates1920[Rate],
            estab_rates1920[Student type], K63,
            estab_rates1920[School type], School_Type,
            estab_rates1920[Property Type], B11,
            estab_rates1920[Area_Type], Area_Type),
        SUMIFS(estab_rates1920[Rate],
            estab_rates1920[Student type], K63,
            estab_rates1920[School type], School_Type,
            estab_rates1920[Property Type], B11)
    )
)</f>
        <v>496.79</v>
      </c>
      <c r="N63" s="88">
        <f>First_Students</f>
        <v>0</v>
      </c>
      <c r="O63" s="88">
        <f t="shared" ref="O63:O64" si="10">N63*M63</f>
        <v>0</v>
      </c>
      <c r="P63" s="91" t="s">
        <v>281</v>
      </c>
    </row>
    <row r="64" spans="3:16" x14ac:dyDescent="0.3">
      <c r="H64" s="89">
        <v>59</v>
      </c>
      <c r="I64" s="89" t="s">
        <v>121</v>
      </c>
      <c r="J64" s="88" t="s">
        <v>124</v>
      </c>
      <c r="K64" s="89" t="s">
        <v>72</v>
      </c>
      <c r="L64" s="88" t="str">
        <f>AG83</f>
        <v>Capital Maintenance &amp; Lease Based Funding Rates</v>
      </c>
      <c r="M64" s="88">
        <f>SUM(
    IF(B11="Leased from third party",
        SUMIFS(estab_rates1920[Rate],
            estab_rates1920[Student type], K64,
            estab_rates1920[School type], School_Type,
            estab_rates1920[Property Type], B11,
            estab_rates1920[Area_Type], Area_Type),
        SUMIFS(estab_rates1920[Rate],
            estab_rates1920[Student type], K64,
            estab_rates1920[School type], School_Type,
            estab_rates1920[Property Type], B11)
    )
)</f>
        <v>124.86</v>
      </c>
      <c r="N64" s="88">
        <f>Extra_Students</f>
        <v>0</v>
      </c>
      <c r="O64" s="88">
        <f t="shared" si="10"/>
        <v>0</v>
      </c>
      <c r="P64" s="91" t="s">
        <v>282</v>
      </c>
    </row>
    <row r="65" spans="1:47" x14ac:dyDescent="0.3">
      <c r="H65" s="89">
        <v>60</v>
      </c>
      <c r="I65" s="89" t="s">
        <v>0</v>
      </c>
      <c r="J65" s="88" t="s">
        <v>125</v>
      </c>
      <c r="K65" s="89" t="s">
        <v>71</v>
      </c>
      <c r="L65" s="88" t="str">
        <f>AA120</f>
        <v>Establishment fit-out (New Schools - non-Ministry property)</v>
      </c>
      <c r="M65" s="117" cm="1">
        <f t="array" ref="M65">SUMPRODUCT(Table2240[Rate]* (B10=TRUE) * ((B11="Sponsor owned") + (B11="Leased from third party")) * (Table2240[School type]=School_Type)*(Table2240[Student Type]=K65))</f>
        <v>0</v>
      </c>
      <c r="N65" s="88">
        <f>First_Students</f>
        <v>0</v>
      </c>
      <c r="O65" s="117">
        <f>M65*N65</f>
        <v>0</v>
      </c>
      <c r="P65" s="91" t="s">
        <v>278</v>
      </c>
    </row>
    <row r="66" spans="1:47" x14ac:dyDescent="0.3">
      <c r="H66" s="89">
        <v>61</v>
      </c>
      <c r="I66" s="89" t="s">
        <v>0</v>
      </c>
      <c r="J66" s="88" t="s">
        <v>125</v>
      </c>
      <c r="K66" s="89" t="s">
        <v>72</v>
      </c>
      <c r="L66" s="88" t="str">
        <f>AA120</f>
        <v>Establishment fit-out (New Schools - non-Ministry property)</v>
      </c>
      <c r="M66" s="117" cm="1">
        <f t="array" ref="M66">SUMPRODUCT(Table2240[Rate]* (B10=TRUE) * ((B11="Sponsor owned") + (B11="Leased from third party")) * (Table2240[School type]=School_Type)*(Table2240[Student Type]=K66))</f>
        <v>0</v>
      </c>
      <c r="N66" s="88">
        <f>Extra_Students</f>
        <v>0</v>
      </c>
      <c r="O66" s="117">
        <f t="shared" ref="O66:O67" si="11">M66*N66</f>
        <v>0</v>
      </c>
      <c r="P66" s="91" t="s">
        <v>279</v>
      </c>
      <c r="V66" t="s">
        <v>193</v>
      </c>
    </row>
    <row r="67" spans="1:47" x14ac:dyDescent="0.3">
      <c r="H67" s="89">
        <v>62</v>
      </c>
      <c r="I67" s="89" t="s">
        <v>0</v>
      </c>
      <c r="J67" s="88" t="s">
        <v>126</v>
      </c>
      <c r="K67" s="89" t="s">
        <v>119</v>
      </c>
      <c r="L67" s="88" t="str">
        <f>AA129</f>
        <v>Establishment ICT funding (New schools - non-Ministry property)</v>
      </c>
      <c r="M67" s="118" cm="1">
        <f t="array" ref="M67">SUMPRODUCT((Table2241[Rate]) * (B10=TRUE) * ((B11="Sponsor owned") + (B11="Leased from third party")) * (Table2241[School type]=School_Type))</f>
        <v>0</v>
      </c>
      <c r="N67" s="88">
        <f>Total_Roll</f>
        <v>0</v>
      </c>
      <c r="O67" s="117">
        <f t="shared" si="11"/>
        <v>0</v>
      </c>
      <c r="P67" s="91" t="s">
        <v>280</v>
      </c>
    </row>
    <row r="68" spans="1:47" x14ac:dyDescent="0.3">
      <c r="P68" s="85"/>
    </row>
    <row r="70" spans="1:47" x14ac:dyDescent="0.3">
      <c r="AG70" s="1"/>
    </row>
    <row r="72" spans="1:47" x14ac:dyDescent="0.3">
      <c r="AN72" s="2"/>
      <c r="AO72" s="2"/>
      <c r="AP72" s="2"/>
      <c r="AQ72" s="2"/>
      <c r="AR72" s="2"/>
      <c r="AS72" s="2"/>
      <c r="AT72" s="2"/>
      <c r="AU72" s="2"/>
    </row>
    <row r="73" spans="1:47" x14ac:dyDescent="0.3">
      <c r="A73" s="2" t="s">
        <v>127</v>
      </c>
      <c r="H73" s="2" t="s">
        <v>128</v>
      </c>
      <c r="L73" s="2" t="s">
        <v>129</v>
      </c>
      <c r="O73" s="2" t="s">
        <v>130</v>
      </c>
      <c r="S73" s="2" t="s">
        <v>131</v>
      </c>
      <c r="X73" s="42" t="s">
        <v>132</v>
      </c>
      <c r="Y73" s="43"/>
      <c r="AA73" s="21" t="s">
        <v>133</v>
      </c>
      <c r="AB73" s="73"/>
      <c r="AC73" s="73"/>
      <c r="AG73" s="22" t="s">
        <v>134</v>
      </c>
      <c r="AH73" s="6"/>
      <c r="AI73" s="6"/>
      <c r="AN73" s="2"/>
      <c r="AO73" s="2"/>
      <c r="AP73" s="2"/>
      <c r="AQ73" s="2"/>
      <c r="AR73" s="2"/>
      <c r="AS73" s="2"/>
      <c r="AT73" s="2"/>
      <c r="AU73" s="2"/>
    </row>
    <row r="74" spans="1:47" x14ac:dyDescent="0.3">
      <c r="A74" s="12" t="s">
        <v>5</v>
      </c>
      <c r="B74" s="13" t="s">
        <v>65</v>
      </c>
      <c r="C74" s="13" t="s">
        <v>135</v>
      </c>
      <c r="D74" s="13" t="s">
        <v>16</v>
      </c>
      <c r="E74" s="14" t="s">
        <v>15</v>
      </c>
      <c r="H74" s="53" t="s">
        <v>65</v>
      </c>
      <c r="I74" s="53" t="s">
        <v>28</v>
      </c>
      <c r="J74" s="54" t="s">
        <v>15</v>
      </c>
      <c r="L74" s="53" t="s">
        <v>65</v>
      </c>
      <c r="M74" s="54" t="s">
        <v>15</v>
      </c>
      <c r="O74" t="s">
        <v>136</v>
      </c>
      <c r="P74" t="s">
        <v>137</v>
      </c>
      <c r="Q74" t="s">
        <v>15</v>
      </c>
      <c r="S74" t="s">
        <v>16</v>
      </c>
      <c r="T74" t="s">
        <v>35</v>
      </c>
      <c r="U74" t="s">
        <v>138</v>
      </c>
      <c r="V74" t="s">
        <v>139</v>
      </c>
      <c r="X74" t="s">
        <v>140</v>
      </c>
      <c r="Y74" t="s">
        <v>141</v>
      </c>
      <c r="AA74" t="s">
        <v>142</v>
      </c>
      <c r="AB74" t="s">
        <v>143</v>
      </c>
      <c r="AC74" t="s">
        <v>144</v>
      </c>
      <c r="AG74" t="s">
        <v>145</v>
      </c>
      <c r="AH74" t="s">
        <v>146</v>
      </c>
      <c r="AI74" t="s">
        <v>15</v>
      </c>
      <c r="AN74" s="2"/>
      <c r="AO74" s="2"/>
      <c r="AP74" s="2"/>
      <c r="AQ74" s="2"/>
      <c r="AR74" s="2"/>
      <c r="AS74" s="2"/>
      <c r="AT74" s="2"/>
      <c r="AU74" s="2"/>
    </row>
    <row r="75" spans="1:47" x14ac:dyDescent="0.3">
      <c r="A75" s="11" t="s">
        <v>1</v>
      </c>
      <c r="B75" s="8" t="s">
        <v>73</v>
      </c>
      <c r="C75" s="8" t="s">
        <v>71</v>
      </c>
      <c r="D75" s="8" t="s">
        <v>22</v>
      </c>
      <c r="E75" s="50">
        <v>391.58</v>
      </c>
      <c r="H75" t="s">
        <v>76</v>
      </c>
      <c r="I75">
        <v>344</v>
      </c>
      <c r="J75" s="55"/>
      <c r="L75" t="s">
        <v>79</v>
      </c>
      <c r="M75" s="56">
        <v>14.65</v>
      </c>
      <c r="O75" t="s">
        <v>8</v>
      </c>
      <c r="P75" t="s">
        <v>95</v>
      </c>
      <c r="Q75" s="56">
        <v>39.549999999999997</v>
      </c>
      <c r="S75" t="s">
        <v>19</v>
      </c>
      <c r="T75">
        <v>0</v>
      </c>
      <c r="U75" s="56">
        <v>0</v>
      </c>
      <c r="V75" s="56">
        <v>180.57</v>
      </c>
      <c r="X75" t="s">
        <v>11</v>
      </c>
      <c r="Y75" s="58">
        <v>46.62</v>
      </c>
      <c r="AA75" t="s">
        <v>19</v>
      </c>
      <c r="AB75" s="58">
        <v>2102.61</v>
      </c>
      <c r="AC75" s="58">
        <v>1100.3499999999999</v>
      </c>
      <c r="AG75" s="88" t="s">
        <v>19</v>
      </c>
      <c r="AH75" s="117" t="s">
        <v>71</v>
      </c>
      <c r="AI75" s="117">
        <v>166.12</v>
      </c>
      <c r="AN75" s="2"/>
      <c r="AO75" s="2"/>
      <c r="AP75" s="2"/>
      <c r="AQ75" s="2"/>
      <c r="AR75" s="2"/>
      <c r="AS75" s="2"/>
      <c r="AT75" s="2"/>
      <c r="AU75" s="2"/>
    </row>
    <row r="76" spans="1:47" x14ac:dyDescent="0.3">
      <c r="A76" s="11" t="s">
        <v>1</v>
      </c>
      <c r="B76" s="8" t="s">
        <v>73</v>
      </c>
      <c r="C76" s="8" t="s">
        <v>72</v>
      </c>
      <c r="D76" s="8" t="s">
        <v>22</v>
      </c>
      <c r="E76" s="50">
        <v>190.93</v>
      </c>
      <c r="H76" t="s">
        <v>76</v>
      </c>
      <c r="I76">
        <v>345</v>
      </c>
      <c r="J76" s="55"/>
      <c r="L76" t="s">
        <v>83</v>
      </c>
      <c r="M76" s="56">
        <v>124.38</v>
      </c>
      <c r="O76" t="s">
        <v>95</v>
      </c>
      <c r="P76" t="s">
        <v>85</v>
      </c>
      <c r="Q76" s="56">
        <v>913.73</v>
      </c>
      <c r="S76" s="85" t="s">
        <v>19</v>
      </c>
      <c r="T76" s="85">
        <v>150</v>
      </c>
      <c r="U76" s="188">
        <v>27086.21</v>
      </c>
      <c r="V76" s="188">
        <v>-161.66999999999999</v>
      </c>
      <c r="X76" t="s">
        <v>147</v>
      </c>
      <c r="Y76" s="58">
        <v>12.53</v>
      </c>
      <c r="AA76" t="s">
        <v>22</v>
      </c>
      <c r="AB76" s="58">
        <v>2387.17</v>
      </c>
      <c r="AC76" s="58">
        <v>2030.09</v>
      </c>
      <c r="AG76" s="88" t="s">
        <v>19</v>
      </c>
      <c r="AH76" s="117" t="s">
        <v>72</v>
      </c>
      <c r="AI76" s="117">
        <v>77.209999999999994</v>
      </c>
      <c r="AN76" s="2"/>
      <c r="AO76" s="2"/>
      <c r="AP76" s="2"/>
      <c r="AQ76" s="2"/>
      <c r="AR76" s="2"/>
      <c r="AS76" s="2"/>
      <c r="AT76" s="2"/>
      <c r="AU76" s="2"/>
    </row>
    <row r="77" spans="1:47" x14ac:dyDescent="0.3">
      <c r="A77" s="11" t="s">
        <v>1</v>
      </c>
      <c r="B77" s="8" t="s">
        <v>73</v>
      </c>
      <c r="C77" s="8" t="s">
        <v>71</v>
      </c>
      <c r="D77" s="8" t="s">
        <v>21</v>
      </c>
      <c r="E77" s="50">
        <v>399.3</v>
      </c>
      <c r="H77" t="s">
        <v>76</v>
      </c>
      <c r="I77">
        <v>346</v>
      </c>
      <c r="J77" s="55"/>
      <c r="L77" t="s">
        <v>82</v>
      </c>
      <c r="M77" s="56">
        <v>59.19</v>
      </c>
      <c r="O77" t="s">
        <v>95</v>
      </c>
      <c r="P77" t="s">
        <v>86</v>
      </c>
      <c r="Q77" s="56">
        <v>1020.74</v>
      </c>
      <c r="S77" s="85" t="s">
        <v>19</v>
      </c>
      <c r="T77" s="85">
        <v>250</v>
      </c>
      <c r="U77" s="188">
        <v>10918.54</v>
      </c>
      <c r="V77" s="188">
        <v>0</v>
      </c>
      <c r="X77" t="s">
        <v>13</v>
      </c>
      <c r="Y77" s="58">
        <v>76.56</v>
      </c>
      <c r="AA77" t="s">
        <v>21</v>
      </c>
      <c r="AB77" s="58">
        <v>2229.09</v>
      </c>
      <c r="AC77" s="58">
        <v>1683.82</v>
      </c>
      <c r="AG77" s="88" t="s">
        <v>22</v>
      </c>
      <c r="AH77" s="117" t="s">
        <v>71</v>
      </c>
      <c r="AI77" s="117">
        <v>357.92</v>
      </c>
      <c r="AN77" s="2"/>
      <c r="AO77" s="2"/>
      <c r="AP77" s="2"/>
      <c r="AQ77" s="2"/>
      <c r="AR77" s="2"/>
      <c r="AS77" s="2"/>
      <c r="AT77" s="2"/>
      <c r="AU77" s="2"/>
    </row>
    <row r="78" spans="1:47" x14ac:dyDescent="0.3">
      <c r="A78" s="11" t="s">
        <v>1</v>
      </c>
      <c r="B78" s="8" t="s">
        <v>73</v>
      </c>
      <c r="C78" s="8" t="s">
        <v>72</v>
      </c>
      <c r="D78" s="8" t="s">
        <v>21</v>
      </c>
      <c r="E78" s="50">
        <v>210.43</v>
      </c>
      <c r="H78" t="s">
        <v>76</v>
      </c>
      <c r="I78">
        <v>347</v>
      </c>
      <c r="J78" s="55"/>
      <c r="O78" t="s">
        <v>95</v>
      </c>
      <c r="P78" t="s">
        <v>87</v>
      </c>
      <c r="Q78" s="56">
        <v>1165.06</v>
      </c>
      <c r="S78" s="85" t="s">
        <v>19</v>
      </c>
      <c r="T78" s="85">
        <v>350</v>
      </c>
      <c r="U78" s="188">
        <v>10918.54</v>
      </c>
      <c r="V78" s="188">
        <v>-154.09</v>
      </c>
      <c r="X78" t="s">
        <v>148</v>
      </c>
      <c r="Y78" s="58">
        <v>135.71</v>
      </c>
      <c r="AG78" s="88" t="s">
        <v>22</v>
      </c>
      <c r="AH78" s="117" t="s">
        <v>72</v>
      </c>
      <c r="AI78" s="117">
        <v>70.28</v>
      </c>
    </row>
    <row r="79" spans="1:47" x14ac:dyDescent="0.3">
      <c r="A79" s="11" t="s">
        <v>1</v>
      </c>
      <c r="B79" s="8" t="s">
        <v>73</v>
      </c>
      <c r="C79" s="8" t="s">
        <v>71</v>
      </c>
      <c r="D79" s="8" t="s">
        <v>19</v>
      </c>
      <c r="E79" s="50">
        <v>320.05</v>
      </c>
      <c r="H79" t="s">
        <v>76</v>
      </c>
      <c r="I79">
        <v>348</v>
      </c>
      <c r="J79" s="55"/>
      <c r="O79" t="s">
        <v>95</v>
      </c>
      <c r="P79" t="s">
        <v>88</v>
      </c>
      <c r="Q79" s="56">
        <v>1288.92</v>
      </c>
      <c r="S79" s="85" t="s">
        <v>19</v>
      </c>
      <c r="T79" s="85">
        <v>403</v>
      </c>
      <c r="U79" s="188">
        <v>2751.7</v>
      </c>
      <c r="V79" s="188">
        <v>0</v>
      </c>
      <c r="AG79" s="88" t="s">
        <v>21</v>
      </c>
      <c r="AH79" s="117" t="s">
        <v>71</v>
      </c>
      <c r="AI79" s="117">
        <v>189.64</v>
      </c>
    </row>
    <row r="80" spans="1:47" x14ac:dyDescent="0.3">
      <c r="A80" s="15" t="s">
        <v>1</v>
      </c>
      <c r="B80" s="16" t="s">
        <v>73</v>
      </c>
      <c r="C80" s="16" t="s">
        <v>72</v>
      </c>
      <c r="D80" s="16" t="s">
        <v>19</v>
      </c>
      <c r="E80" s="51">
        <v>202.29</v>
      </c>
      <c r="H80" t="s">
        <v>76</v>
      </c>
      <c r="I80">
        <v>349</v>
      </c>
      <c r="J80" s="55"/>
      <c r="O80" t="s">
        <v>89</v>
      </c>
      <c r="P80" t="s">
        <v>90</v>
      </c>
      <c r="Q80" s="56">
        <v>15.55</v>
      </c>
      <c r="S80" s="85" t="s">
        <v>19</v>
      </c>
      <c r="T80" s="85">
        <v>800</v>
      </c>
      <c r="U80" s="188">
        <v>2751.7</v>
      </c>
      <c r="V80" s="188">
        <v>0</v>
      </c>
      <c r="X80" s="58"/>
      <c r="AA80" s="21" t="s">
        <v>149</v>
      </c>
      <c r="AB80" s="73"/>
      <c r="AC80" s="73"/>
      <c r="AG80" s="88" t="s">
        <v>21</v>
      </c>
      <c r="AH80" s="117" t="s">
        <v>72</v>
      </c>
      <c r="AI80" s="117">
        <v>67.95</v>
      </c>
    </row>
    <row r="81" spans="1:45" x14ac:dyDescent="0.3">
      <c r="A81" s="15" t="s">
        <v>1</v>
      </c>
      <c r="B81" s="8" t="s">
        <v>74</v>
      </c>
      <c r="C81" s="8" t="s">
        <v>71</v>
      </c>
      <c r="D81" s="8" t="s">
        <v>19</v>
      </c>
      <c r="E81" s="50">
        <v>150.80000000000001</v>
      </c>
      <c r="H81" t="s">
        <v>76</v>
      </c>
      <c r="I81">
        <v>350</v>
      </c>
      <c r="J81" s="55"/>
      <c r="O81" t="s">
        <v>91</v>
      </c>
      <c r="P81" t="s">
        <v>92</v>
      </c>
      <c r="Q81" s="56">
        <v>28.12</v>
      </c>
      <c r="S81" s="85" t="s">
        <v>22</v>
      </c>
      <c r="T81" s="85">
        <v>0</v>
      </c>
      <c r="U81" s="188">
        <v>0</v>
      </c>
      <c r="V81" s="188">
        <v>454.83</v>
      </c>
      <c r="AA81" t="s">
        <v>150</v>
      </c>
      <c r="AB81" t="s">
        <v>142</v>
      </c>
      <c r="AC81" s="57" t="s">
        <v>141</v>
      </c>
    </row>
    <row r="82" spans="1:45" x14ac:dyDescent="0.3">
      <c r="A82" s="15" t="s">
        <v>1</v>
      </c>
      <c r="B82" s="8" t="s">
        <v>74</v>
      </c>
      <c r="C82" s="8" t="s">
        <v>71</v>
      </c>
      <c r="D82" s="8" t="s">
        <v>22</v>
      </c>
      <c r="E82" s="50">
        <v>341.41</v>
      </c>
      <c r="H82" t="s">
        <v>76</v>
      </c>
      <c r="I82">
        <v>351</v>
      </c>
      <c r="J82" s="55"/>
      <c r="O82" t="s">
        <v>93</v>
      </c>
      <c r="P82" t="s">
        <v>41</v>
      </c>
      <c r="Q82" s="56">
        <v>2175.42</v>
      </c>
      <c r="S82" t="s">
        <v>22</v>
      </c>
      <c r="T82">
        <v>375</v>
      </c>
      <c r="U82" s="188">
        <v>170562.37</v>
      </c>
      <c r="V82" s="56">
        <v>-381.27</v>
      </c>
      <c r="X82" s="58"/>
      <c r="AA82" t="s">
        <v>151</v>
      </c>
      <c r="AB82" t="s">
        <v>19</v>
      </c>
      <c r="AC82" s="56">
        <v>290.22000000000003</v>
      </c>
    </row>
    <row r="83" spans="1:45" x14ac:dyDescent="0.3">
      <c r="A83" s="15" t="s">
        <v>1</v>
      </c>
      <c r="B83" s="8" t="s">
        <v>74</v>
      </c>
      <c r="C83" s="8" t="s">
        <v>71</v>
      </c>
      <c r="D83" s="8" t="s">
        <v>21</v>
      </c>
      <c r="E83" s="50">
        <v>195.57</v>
      </c>
      <c r="H83" t="s">
        <v>76</v>
      </c>
      <c r="I83">
        <v>352</v>
      </c>
      <c r="J83" s="55"/>
      <c r="O83" t="s">
        <v>93</v>
      </c>
      <c r="P83" t="s">
        <v>42</v>
      </c>
      <c r="Q83" s="56">
        <v>554.17999999999995</v>
      </c>
      <c r="S83" t="s">
        <v>22</v>
      </c>
      <c r="T83">
        <v>480</v>
      </c>
      <c r="U83" s="56">
        <v>130527.93</v>
      </c>
      <c r="V83" s="56">
        <v>-51.33</v>
      </c>
      <c r="AA83" t="s">
        <v>151</v>
      </c>
      <c r="AB83" t="s">
        <v>152</v>
      </c>
      <c r="AC83" s="56">
        <v>303.16000000000003</v>
      </c>
      <c r="AG83" s="22" t="s">
        <v>357</v>
      </c>
      <c r="AH83" s="6"/>
      <c r="AI83" s="6"/>
      <c r="AJ83" s="6"/>
    </row>
    <row r="84" spans="1:45" x14ac:dyDescent="0.3">
      <c r="A84" s="15" t="s">
        <v>1</v>
      </c>
      <c r="B84" s="8" t="s">
        <v>74</v>
      </c>
      <c r="C84" s="8" t="s">
        <v>72</v>
      </c>
      <c r="D84" s="8" t="s">
        <v>19</v>
      </c>
      <c r="E84" s="50">
        <v>72.56</v>
      </c>
      <c r="H84" t="s">
        <v>76</v>
      </c>
      <c r="I84">
        <v>353</v>
      </c>
      <c r="J84" s="55"/>
      <c r="O84" t="s">
        <v>93</v>
      </c>
      <c r="P84" t="s">
        <v>43</v>
      </c>
      <c r="Q84" s="56">
        <v>298.69</v>
      </c>
      <c r="S84" t="s">
        <v>22</v>
      </c>
      <c r="T84">
        <v>600</v>
      </c>
      <c r="U84" s="56">
        <v>124368.55</v>
      </c>
      <c r="V84" s="56">
        <v>-205.32</v>
      </c>
      <c r="AA84" t="s">
        <v>153</v>
      </c>
      <c r="AB84" t="s">
        <v>152</v>
      </c>
      <c r="AC84" s="56">
        <v>285.04000000000002</v>
      </c>
      <c r="AG84" t="s">
        <v>145</v>
      </c>
      <c r="AH84" t="s">
        <v>146</v>
      </c>
      <c r="AI84" t="s">
        <v>18</v>
      </c>
      <c r="AJ84" t="s">
        <v>154</v>
      </c>
      <c r="AK84" t="s">
        <v>15</v>
      </c>
      <c r="AL84" s="4"/>
    </row>
    <row r="85" spans="1:45" x14ac:dyDescent="0.3">
      <c r="A85" s="15" t="s">
        <v>1</v>
      </c>
      <c r="B85" s="8" t="s">
        <v>74</v>
      </c>
      <c r="C85" s="8" t="s">
        <v>72</v>
      </c>
      <c r="D85" s="8" t="s">
        <v>22</v>
      </c>
      <c r="E85" s="50">
        <v>94.83</v>
      </c>
      <c r="H85" t="s">
        <v>76</v>
      </c>
      <c r="I85">
        <v>354</v>
      </c>
      <c r="J85" s="55"/>
      <c r="O85" t="s">
        <v>93</v>
      </c>
      <c r="P85" t="s">
        <v>44</v>
      </c>
      <c r="Q85" s="56">
        <v>72.510000000000005</v>
      </c>
      <c r="S85" t="s">
        <v>22</v>
      </c>
      <c r="T85">
        <v>900</v>
      </c>
      <c r="U85" s="56">
        <v>62774.77</v>
      </c>
      <c r="V85" s="56">
        <v>0</v>
      </c>
      <c r="AG85" s="186" t="s">
        <v>19</v>
      </c>
      <c r="AH85" s="187" t="s">
        <v>71</v>
      </c>
      <c r="AI85" s="187" t="s">
        <v>20</v>
      </c>
      <c r="AJ85" s="187"/>
      <c r="AK85" s="187">
        <v>496.79</v>
      </c>
      <c r="AL85" s="4"/>
    </row>
    <row r="86" spans="1:45" x14ac:dyDescent="0.3">
      <c r="A86" s="15" t="s">
        <v>1</v>
      </c>
      <c r="B86" s="8" t="s">
        <v>74</v>
      </c>
      <c r="C86" s="8" t="s">
        <v>72</v>
      </c>
      <c r="D86" s="8" t="s">
        <v>21</v>
      </c>
      <c r="E86" s="50">
        <v>113.64</v>
      </c>
      <c r="H86" t="s">
        <v>76</v>
      </c>
      <c r="I86">
        <v>355</v>
      </c>
      <c r="J86" s="55"/>
      <c r="O86" t="s">
        <v>94</v>
      </c>
      <c r="P86" t="s">
        <v>95</v>
      </c>
      <c r="Q86" s="56">
        <v>163.5</v>
      </c>
      <c r="S86" t="s">
        <v>21</v>
      </c>
      <c r="T86">
        <v>0</v>
      </c>
      <c r="U86" s="56">
        <v>0</v>
      </c>
      <c r="V86" s="56">
        <v>619.24</v>
      </c>
      <c r="AG86" s="186" t="s">
        <v>19</v>
      </c>
      <c r="AH86" s="187" t="s">
        <v>72</v>
      </c>
      <c r="AI86" s="187" t="s">
        <v>20</v>
      </c>
      <c r="AJ86" s="187"/>
      <c r="AK86" s="187">
        <v>124.86</v>
      </c>
      <c r="AL86" s="4"/>
    </row>
    <row r="87" spans="1:45" x14ac:dyDescent="0.3">
      <c r="A87" s="15" t="s">
        <v>70</v>
      </c>
      <c r="B87" s="16"/>
      <c r="C87" s="16" t="s">
        <v>71</v>
      </c>
      <c r="D87" s="8" t="s">
        <v>19</v>
      </c>
      <c r="E87" s="51">
        <v>7117.98</v>
      </c>
      <c r="H87" t="s">
        <v>76</v>
      </c>
      <c r="I87">
        <v>356</v>
      </c>
      <c r="J87" s="55"/>
      <c r="O87" t="s">
        <v>97</v>
      </c>
      <c r="P87" t="s">
        <v>41</v>
      </c>
      <c r="Q87" s="56">
        <v>1135.53</v>
      </c>
      <c r="S87" t="s">
        <v>21</v>
      </c>
      <c r="T87">
        <v>250</v>
      </c>
      <c r="U87" s="188">
        <v>154809.69</v>
      </c>
      <c r="V87" s="56">
        <v>-105.58</v>
      </c>
      <c r="AA87" s="21" t="s">
        <v>155</v>
      </c>
      <c r="AB87" s="73"/>
      <c r="AG87" s="186" t="s">
        <v>22</v>
      </c>
      <c r="AH87" s="187" t="s">
        <v>71</v>
      </c>
      <c r="AI87" s="187" t="s">
        <v>20</v>
      </c>
      <c r="AJ87" s="187"/>
      <c r="AK87" s="187">
        <v>956.13</v>
      </c>
      <c r="AL87" s="4"/>
    </row>
    <row r="88" spans="1:45" x14ac:dyDescent="0.3">
      <c r="A88" s="15" t="s">
        <v>70</v>
      </c>
      <c r="B88" s="8"/>
      <c r="C88" s="8" t="s">
        <v>72</v>
      </c>
      <c r="D88" s="8" t="s">
        <v>19</v>
      </c>
      <c r="E88" s="51">
        <v>5359.59</v>
      </c>
      <c r="H88" t="s">
        <v>76</v>
      </c>
      <c r="I88">
        <v>357</v>
      </c>
      <c r="J88" s="55"/>
      <c r="O88" t="s">
        <v>97</v>
      </c>
      <c r="P88" t="s">
        <v>42</v>
      </c>
      <c r="Q88" s="56">
        <v>554.17999999999995</v>
      </c>
      <c r="S88" t="s">
        <v>21</v>
      </c>
      <c r="T88">
        <v>480</v>
      </c>
      <c r="U88" s="56">
        <v>130527.93</v>
      </c>
      <c r="V88" s="56">
        <v>-51.33</v>
      </c>
      <c r="AA88" s="60" t="s">
        <v>142</v>
      </c>
      <c r="AB88" s="60" t="s">
        <v>15</v>
      </c>
      <c r="AG88" s="186" t="s">
        <v>22</v>
      </c>
      <c r="AH88" s="187" t="s">
        <v>72</v>
      </c>
      <c r="AI88" s="187" t="s">
        <v>20</v>
      </c>
      <c r="AJ88" s="187"/>
      <c r="AK88" s="187">
        <v>120.58</v>
      </c>
      <c r="AL88" s="4"/>
    </row>
    <row r="89" spans="1:45" x14ac:dyDescent="0.3">
      <c r="A89" s="15" t="s">
        <v>70</v>
      </c>
      <c r="B89" s="8"/>
      <c r="C89" s="128" t="s">
        <v>234</v>
      </c>
      <c r="D89" s="8" t="s">
        <v>19</v>
      </c>
      <c r="E89" s="51">
        <v>1498.15</v>
      </c>
      <c r="H89" t="s">
        <v>76</v>
      </c>
      <c r="I89">
        <v>358</v>
      </c>
      <c r="J89" s="55"/>
      <c r="O89" t="s">
        <v>10</v>
      </c>
      <c r="P89" t="s">
        <v>100</v>
      </c>
      <c r="Q89" s="56">
        <v>925.31</v>
      </c>
      <c r="S89" t="s">
        <v>21</v>
      </c>
      <c r="T89">
        <v>600</v>
      </c>
      <c r="U89" s="56">
        <v>124368.55</v>
      </c>
      <c r="V89" s="56">
        <v>-205.32</v>
      </c>
      <c r="AA89" s="52" t="s">
        <v>19</v>
      </c>
      <c r="AB89" s="59">
        <v>1184.2</v>
      </c>
      <c r="AG89" s="186" t="s">
        <v>21</v>
      </c>
      <c r="AH89" s="187" t="s">
        <v>71</v>
      </c>
      <c r="AI89" s="187" t="s">
        <v>20</v>
      </c>
      <c r="AJ89" s="187"/>
      <c r="AK89" s="187">
        <v>588.25</v>
      </c>
      <c r="AL89" s="4"/>
    </row>
    <row r="90" spans="1:45" x14ac:dyDescent="0.3">
      <c r="A90" s="15" t="s">
        <v>70</v>
      </c>
      <c r="B90" s="8"/>
      <c r="C90" s="44" t="s">
        <v>115</v>
      </c>
      <c r="D90" s="8" t="s">
        <v>19</v>
      </c>
      <c r="E90" s="50">
        <v>221.38</v>
      </c>
      <c r="H90" t="s">
        <v>76</v>
      </c>
      <c r="I90">
        <v>359</v>
      </c>
      <c r="J90" s="55"/>
      <c r="O90" t="s">
        <v>10</v>
      </c>
      <c r="P90" t="s">
        <v>101</v>
      </c>
      <c r="Q90" s="56">
        <v>162.6</v>
      </c>
      <c r="S90" t="s">
        <v>21</v>
      </c>
      <c r="T90">
        <v>900</v>
      </c>
      <c r="U90" s="56">
        <v>62774.77</v>
      </c>
      <c r="V90" s="56">
        <v>0</v>
      </c>
      <c r="AA90" s="52" t="s">
        <v>22</v>
      </c>
      <c r="AB90" s="59">
        <v>1413.45</v>
      </c>
      <c r="AG90" s="186" t="s">
        <v>21</v>
      </c>
      <c r="AH90" s="187" t="s">
        <v>72</v>
      </c>
      <c r="AI90" s="187" t="s">
        <v>20</v>
      </c>
      <c r="AJ90" s="187"/>
      <c r="AK90" s="187">
        <v>72.2</v>
      </c>
      <c r="AL90" s="4"/>
    </row>
    <row r="91" spans="1:45" x14ac:dyDescent="0.3">
      <c r="A91" s="11" t="s">
        <v>70</v>
      </c>
      <c r="B91" s="8"/>
      <c r="C91" s="72" t="s">
        <v>71</v>
      </c>
      <c r="D91" s="8" t="s">
        <v>22</v>
      </c>
      <c r="E91" s="51">
        <v>12503.92</v>
      </c>
      <c r="H91" t="s">
        <v>76</v>
      </c>
      <c r="I91">
        <v>360</v>
      </c>
      <c r="J91" s="55"/>
      <c r="O91" t="s">
        <v>9</v>
      </c>
      <c r="P91" t="s">
        <v>102</v>
      </c>
      <c r="Q91" s="56">
        <v>1615.7</v>
      </c>
      <c r="AA91" s="52" t="s">
        <v>21</v>
      </c>
      <c r="AB91" s="59">
        <v>1339.26</v>
      </c>
      <c r="AG91" s="88" t="s">
        <v>19</v>
      </c>
      <c r="AH91" s="117" t="s">
        <v>71</v>
      </c>
      <c r="AI91" s="117" t="s">
        <v>24</v>
      </c>
      <c r="AJ91" s="117" t="s">
        <v>26</v>
      </c>
      <c r="AK91" s="117">
        <v>4125.04</v>
      </c>
      <c r="AL91" s="4"/>
    </row>
    <row r="92" spans="1:45" x14ac:dyDescent="0.3">
      <c r="A92" s="11" t="s">
        <v>70</v>
      </c>
      <c r="B92" s="8"/>
      <c r="C92" s="44" t="s">
        <v>72</v>
      </c>
      <c r="D92" s="8" t="s">
        <v>22</v>
      </c>
      <c r="E92" s="51">
        <v>6313.82</v>
      </c>
      <c r="H92" t="s">
        <v>76</v>
      </c>
      <c r="I92">
        <v>361</v>
      </c>
      <c r="J92" s="55"/>
      <c r="O92" t="s">
        <v>57</v>
      </c>
      <c r="P92" t="s">
        <v>95</v>
      </c>
      <c r="Q92" s="56">
        <v>-13.04</v>
      </c>
      <c r="AG92" s="88" t="s">
        <v>19</v>
      </c>
      <c r="AH92" s="117" t="s">
        <v>72</v>
      </c>
      <c r="AI92" s="117" t="s">
        <v>24</v>
      </c>
      <c r="AJ92" s="117" t="s">
        <v>26</v>
      </c>
      <c r="AK92" s="117">
        <v>1738.7</v>
      </c>
      <c r="AL92" s="4"/>
      <c r="AR92" s="58"/>
      <c r="AS92" s="58"/>
    </row>
    <row r="93" spans="1:45" x14ac:dyDescent="0.3">
      <c r="A93" s="15" t="s">
        <v>70</v>
      </c>
      <c r="B93" s="16"/>
      <c r="C93" s="128" t="s">
        <v>234</v>
      </c>
      <c r="D93" s="8" t="s">
        <v>22</v>
      </c>
      <c r="E93" s="51">
        <v>994.23</v>
      </c>
      <c r="H93" t="s">
        <v>76</v>
      </c>
      <c r="I93">
        <v>362</v>
      </c>
      <c r="J93" s="55"/>
      <c r="O93" t="s">
        <v>51</v>
      </c>
      <c r="P93" t="s">
        <v>30</v>
      </c>
      <c r="Q93" s="56">
        <v>3.84</v>
      </c>
      <c r="S93" s="2" t="s">
        <v>156</v>
      </c>
      <c r="AG93" s="88" t="s">
        <v>22</v>
      </c>
      <c r="AH93" s="117" t="s">
        <v>71</v>
      </c>
      <c r="AI93" s="117" t="s">
        <v>24</v>
      </c>
      <c r="AJ93" s="117" t="s">
        <v>26</v>
      </c>
      <c r="AK93" s="117">
        <v>4687.6400000000003</v>
      </c>
      <c r="AL93" s="4"/>
      <c r="AR93" s="58"/>
      <c r="AS93" s="58"/>
    </row>
    <row r="94" spans="1:45" x14ac:dyDescent="0.3">
      <c r="A94" s="15" t="s">
        <v>70</v>
      </c>
      <c r="B94" s="8"/>
      <c r="C94" s="44" t="s">
        <v>115</v>
      </c>
      <c r="D94" s="8" t="s">
        <v>22</v>
      </c>
      <c r="E94" s="50">
        <v>119.67</v>
      </c>
      <c r="H94" t="s">
        <v>76</v>
      </c>
      <c r="I94">
        <v>363</v>
      </c>
      <c r="J94" s="55"/>
      <c r="O94" t="s">
        <v>51</v>
      </c>
      <c r="P94" t="s">
        <v>32</v>
      </c>
      <c r="Q94" s="56">
        <v>11.52</v>
      </c>
      <c r="S94" s="13" t="s">
        <v>135</v>
      </c>
      <c r="T94" s="13" t="s">
        <v>16</v>
      </c>
      <c r="U94" s="14" t="s">
        <v>15</v>
      </c>
      <c r="AA94" s="21" t="s">
        <v>157</v>
      </c>
      <c r="AB94" s="73"/>
      <c r="AC94" s="73"/>
      <c r="AD94" s="73"/>
      <c r="AG94" s="88" t="s">
        <v>22</v>
      </c>
      <c r="AH94" s="117" t="s">
        <v>72</v>
      </c>
      <c r="AI94" s="117" t="s">
        <v>24</v>
      </c>
      <c r="AJ94" s="117" t="s">
        <v>26</v>
      </c>
      <c r="AK94" s="117">
        <v>2151.62</v>
      </c>
      <c r="AL94" s="4"/>
      <c r="AR94" s="58"/>
      <c r="AS94" s="58"/>
    </row>
    <row r="95" spans="1:45" ht="19.5" thickBot="1" x14ac:dyDescent="0.35">
      <c r="A95" s="11" t="s">
        <v>70</v>
      </c>
      <c r="B95" s="8"/>
      <c r="C95" s="72" t="s">
        <v>71</v>
      </c>
      <c r="D95" s="8" t="s">
        <v>21</v>
      </c>
      <c r="E95" s="51">
        <v>10091.64</v>
      </c>
      <c r="H95" t="s">
        <v>76</v>
      </c>
      <c r="I95">
        <v>364</v>
      </c>
      <c r="J95" s="55"/>
      <c r="O95" t="s">
        <v>51</v>
      </c>
      <c r="P95" t="s">
        <v>33</v>
      </c>
      <c r="Q95" s="56">
        <v>19.23</v>
      </c>
      <c r="S95" s="8" t="s">
        <v>71</v>
      </c>
      <c r="T95" s="8" t="s">
        <v>19</v>
      </c>
      <c r="U95" s="50">
        <v>1.1499999999999999</v>
      </c>
      <c r="AA95" s="70" t="s">
        <v>158</v>
      </c>
      <c r="AB95" s="71" t="s">
        <v>159</v>
      </c>
      <c r="AC95" s="71" t="s">
        <v>160</v>
      </c>
      <c r="AD95" s="71" t="s">
        <v>69</v>
      </c>
      <c r="AG95" s="88" t="s">
        <v>21</v>
      </c>
      <c r="AH95" s="117" t="s">
        <v>71</v>
      </c>
      <c r="AI95" s="117" t="s">
        <v>24</v>
      </c>
      <c r="AJ95" s="117" t="s">
        <v>26</v>
      </c>
      <c r="AK95" s="117">
        <v>3909.86</v>
      </c>
      <c r="AL95" s="4"/>
      <c r="AR95" s="58"/>
      <c r="AS95" s="58"/>
    </row>
    <row r="96" spans="1:45" ht="19.5" thickBot="1" x14ac:dyDescent="0.35">
      <c r="A96" s="11" t="s">
        <v>70</v>
      </c>
      <c r="B96" s="8"/>
      <c r="C96" s="44" t="s">
        <v>72</v>
      </c>
      <c r="D96" s="8" t="s">
        <v>21</v>
      </c>
      <c r="E96" s="51">
        <v>6031.64</v>
      </c>
      <c r="H96" t="s">
        <v>76</v>
      </c>
      <c r="I96">
        <v>365</v>
      </c>
      <c r="J96" s="55"/>
      <c r="O96" t="s">
        <v>51</v>
      </c>
      <c r="P96" t="s">
        <v>34</v>
      </c>
      <c r="Q96" s="56">
        <v>26.89</v>
      </c>
      <c r="S96" s="8" t="s">
        <v>72</v>
      </c>
      <c r="T96" s="8" t="s">
        <v>19</v>
      </c>
      <c r="U96" s="50">
        <v>0.57999999999999996</v>
      </c>
      <c r="AA96" s="78" t="s">
        <v>161</v>
      </c>
      <c r="AB96" s="79">
        <v>0</v>
      </c>
      <c r="AC96" s="79">
        <v>50</v>
      </c>
      <c r="AD96" s="80">
        <v>30553.93</v>
      </c>
      <c r="AG96" s="88" t="s">
        <v>21</v>
      </c>
      <c r="AH96" s="117" t="s">
        <v>72</v>
      </c>
      <c r="AI96" s="117" t="s">
        <v>24</v>
      </c>
      <c r="AJ96" s="117" t="s">
        <v>26</v>
      </c>
      <c r="AK96" s="117">
        <v>2744.36</v>
      </c>
      <c r="AL96" s="4"/>
      <c r="AR96" s="58"/>
      <c r="AS96" s="58"/>
    </row>
    <row r="97" spans="1:45" ht="19.5" thickBot="1" x14ac:dyDescent="0.35">
      <c r="A97" s="15" t="s">
        <v>70</v>
      </c>
      <c r="B97" s="16"/>
      <c r="C97" s="128" t="s">
        <v>234</v>
      </c>
      <c r="D97" s="8" t="s">
        <v>21</v>
      </c>
      <c r="E97" s="51">
        <v>659.12</v>
      </c>
      <c r="H97" t="s">
        <v>76</v>
      </c>
      <c r="I97">
        <v>366</v>
      </c>
      <c r="J97" s="55"/>
      <c r="O97" t="s">
        <v>51</v>
      </c>
      <c r="P97" t="s">
        <v>36</v>
      </c>
      <c r="Q97" s="56">
        <v>30.72</v>
      </c>
      <c r="S97" s="8" t="s">
        <v>71</v>
      </c>
      <c r="T97" s="8" t="s">
        <v>22</v>
      </c>
      <c r="U97" s="50">
        <v>1.53</v>
      </c>
      <c r="AA97" s="78" t="s">
        <v>162</v>
      </c>
      <c r="AB97" s="79">
        <v>51</v>
      </c>
      <c r="AC97" s="79">
        <v>100</v>
      </c>
      <c r="AD97" s="80">
        <v>30553.93</v>
      </c>
      <c r="AG97" s="88" t="s">
        <v>19</v>
      </c>
      <c r="AH97" s="117" t="s">
        <v>71</v>
      </c>
      <c r="AI97" s="117" t="s">
        <v>24</v>
      </c>
      <c r="AJ97" s="117" t="s">
        <v>27</v>
      </c>
      <c r="AK97" s="117">
        <v>2313.2800000000002</v>
      </c>
      <c r="AL97" s="4"/>
      <c r="AR97" s="58"/>
      <c r="AS97" s="58"/>
    </row>
    <row r="98" spans="1:45" ht="19.5" thickBot="1" x14ac:dyDescent="0.35">
      <c r="A98" s="15" t="s">
        <v>70</v>
      </c>
      <c r="B98" s="8"/>
      <c r="C98" s="44" t="s">
        <v>115</v>
      </c>
      <c r="D98" s="8" t="s">
        <v>21</v>
      </c>
      <c r="E98" s="50">
        <v>168.38</v>
      </c>
      <c r="H98" t="s">
        <v>76</v>
      </c>
      <c r="I98">
        <v>367</v>
      </c>
      <c r="J98" s="55"/>
      <c r="O98" t="s">
        <v>51</v>
      </c>
      <c r="P98" t="s">
        <v>37</v>
      </c>
      <c r="Q98" s="56">
        <v>0</v>
      </c>
      <c r="S98" s="8" t="s">
        <v>72</v>
      </c>
      <c r="T98" s="8" t="s">
        <v>22</v>
      </c>
      <c r="U98" s="50">
        <v>0.66</v>
      </c>
      <c r="AA98" s="78" t="s">
        <v>163</v>
      </c>
      <c r="AB98" s="79">
        <v>101</v>
      </c>
      <c r="AC98" s="79">
        <v>150</v>
      </c>
      <c r="AD98" s="80">
        <v>30553.93</v>
      </c>
      <c r="AG98" s="88" t="s">
        <v>19</v>
      </c>
      <c r="AH98" s="117" t="s">
        <v>72</v>
      </c>
      <c r="AI98" s="117" t="s">
        <v>24</v>
      </c>
      <c r="AJ98" s="117" t="s">
        <v>27</v>
      </c>
      <c r="AK98" s="117">
        <v>1676.07</v>
      </c>
      <c r="AL98" s="4"/>
    </row>
    <row r="99" spans="1:45" ht="19.5" thickBot="1" x14ac:dyDescent="0.35">
      <c r="E99" t="s">
        <v>164</v>
      </c>
      <c r="H99" t="s">
        <v>76</v>
      </c>
      <c r="I99">
        <v>368</v>
      </c>
      <c r="J99" s="55"/>
      <c r="S99" s="8" t="s">
        <v>71</v>
      </c>
      <c r="T99" s="8" t="s">
        <v>21</v>
      </c>
      <c r="U99" s="50">
        <v>1.26</v>
      </c>
      <c r="AA99" s="78" t="s">
        <v>165</v>
      </c>
      <c r="AB99" s="79">
        <v>151</v>
      </c>
      <c r="AC99" s="79">
        <v>300</v>
      </c>
      <c r="AD99" s="80">
        <v>32947.949999999997</v>
      </c>
      <c r="AG99" s="88" t="s">
        <v>22</v>
      </c>
      <c r="AH99" s="117" t="s">
        <v>71</v>
      </c>
      <c r="AI99" s="117" t="s">
        <v>24</v>
      </c>
      <c r="AJ99" s="117" t="s">
        <v>27</v>
      </c>
      <c r="AK99" s="117">
        <v>4083.02</v>
      </c>
      <c r="AL99" s="4"/>
    </row>
    <row r="100" spans="1:45" ht="19.5" thickBot="1" x14ac:dyDescent="0.35">
      <c r="H100" t="s">
        <v>76</v>
      </c>
      <c r="I100">
        <v>369</v>
      </c>
      <c r="J100" s="55"/>
      <c r="S100" s="16" t="s">
        <v>72</v>
      </c>
      <c r="T100" s="8" t="s">
        <v>21</v>
      </c>
      <c r="U100" s="51">
        <v>0.63</v>
      </c>
      <c r="AA100" s="78" t="s">
        <v>166</v>
      </c>
      <c r="AB100" s="79">
        <v>301</v>
      </c>
      <c r="AC100" s="79">
        <v>500</v>
      </c>
      <c r="AD100" s="80">
        <v>35341.97</v>
      </c>
      <c r="AG100" s="88" t="s">
        <v>22</v>
      </c>
      <c r="AH100" s="117" t="s">
        <v>72</v>
      </c>
      <c r="AI100" s="117" t="s">
        <v>24</v>
      </c>
      <c r="AJ100" s="117" t="s">
        <v>27</v>
      </c>
      <c r="AK100" s="117">
        <v>1714.62</v>
      </c>
      <c r="AL100" s="4"/>
    </row>
    <row r="101" spans="1:45" ht="19.5" thickBot="1" x14ac:dyDescent="0.35">
      <c r="H101" t="s">
        <v>76</v>
      </c>
      <c r="I101">
        <v>370</v>
      </c>
      <c r="J101" s="55"/>
      <c r="AA101" s="78" t="s">
        <v>167</v>
      </c>
      <c r="AB101" s="79">
        <v>501</v>
      </c>
      <c r="AC101" s="79">
        <v>675</v>
      </c>
      <c r="AD101" s="80">
        <v>36710.65</v>
      </c>
      <c r="AG101" s="88" t="s">
        <v>21</v>
      </c>
      <c r="AH101" s="117" t="s">
        <v>71</v>
      </c>
      <c r="AI101" s="117" t="s">
        <v>24</v>
      </c>
      <c r="AJ101" s="117" t="s">
        <v>27</v>
      </c>
      <c r="AK101" s="117">
        <v>3497.94</v>
      </c>
      <c r="AL101" s="4"/>
    </row>
    <row r="102" spans="1:45" ht="19.5" thickBot="1" x14ac:dyDescent="0.35">
      <c r="H102" t="s">
        <v>76</v>
      </c>
      <c r="I102">
        <v>371</v>
      </c>
      <c r="J102" s="55"/>
      <c r="AA102" s="78" t="s">
        <v>168</v>
      </c>
      <c r="AB102" s="79">
        <v>676</v>
      </c>
      <c r="AC102" s="79">
        <v>850</v>
      </c>
      <c r="AD102" s="80">
        <v>38135.51</v>
      </c>
      <c r="AG102" s="88" t="s">
        <v>21</v>
      </c>
      <c r="AH102" s="117" t="s">
        <v>72</v>
      </c>
      <c r="AI102" s="117" t="s">
        <v>24</v>
      </c>
      <c r="AJ102" s="117" t="s">
        <v>27</v>
      </c>
      <c r="AK102" s="117">
        <v>1767.45</v>
      </c>
      <c r="AL102" s="4"/>
      <c r="AN102" s="82"/>
    </row>
    <row r="103" spans="1:45" ht="19.5" thickBot="1" x14ac:dyDescent="0.35">
      <c r="H103" t="s">
        <v>76</v>
      </c>
      <c r="I103">
        <v>372</v>
      </c>
      <c r="J103" s="55"/>
      <c r="AA103" s="78" t="s">
        <v>169</v>
      </c>
      <c r="AB103" s="79">
        <v>851</v>
      </c>
      <c r="AC103" s="81">
        <v>1025</v>
      </c>
      <c r="AD103" s="80">
        <v>39560.89</v>
      </c>
      <c r="AG103" s="186" t="s">
        <v>19</v>
      </c>
      <c r="AH103" s="187" t="s">
        <v>71</v>
      </c>
      <c r="AI103" s="187" t="s">
        <v>23</v>
      </c>
      <c r="AJ103" s="187"/>
      <c r="AK103" s="187">
        <v>1388</v>
      </c>
      <c r="AL103" s="4"/>
      <c r="AN103" s="82"/>
    </row>
    <row r="104" spans="1:45" ht="19.5" thickBot="1" x14ac:dyDescent="0.35">
      <c r="H104" t="s">
        <v>76</v>
      </c>
      <c r="I104">
        <v>373</v>
      </c>
      <c r="J104" s="55"/>
      <c r="AA104" s="78" t="s">
        <v>170</v>
      </c>
      <c r="AB104" s="79">
        <v>1026</v>
      </c>
      <c r="AC104" s="81">
        <v>1200</v>
      </c>
      <c r="AD104" s="80">
        <v>40529.79</v>
      </c>
      <c r="AG104" s="186" t="s">
        <v>19</v>
      </c>
      <c r="AH104" s="187" t="s">
        <v>72</v>
      </c>
      <c r="AI104" s="187" t="s">
        <v>23</v>
      </c>
      <c r="AJ104" s="187"/>
      <c r="AK104" s="187">
        <v>1388</v>
      </c>
      <c r="AL104" s="4"/>
      <c r="AN104" s="82"/>
    </row>
    <row r="105" spans="1:45" ht="19.5" thickBot="1" x14ac:dyDescent="0.35">
      <c r="H105" t="s">
        <v>76</v>
      </c>
      <c r="I105">
        <v>374</v>
      </c>
      <c r="J105" s="55"/>
      <c r="AA105" s="78" t="s">
        <v>171</v>
      </c>
      <c r="AB105" s="79">
        <v>1201</v>
      </c>
      <c r="AC105" s="81">
        <v>1400</v>
      </c>
      <c r="AD105" s="80">
        <v>41498.69</v>
      </c>
      <c r="AG105" s="186" t="s">
        <v>22</v>
      </c>
      <c r="AH105" s="187" t="s">
        <v>71</v>
      </c>
      <c r="AI105" s="187" t="s">
        <v>23</v>
      </c>
      <c r="AJ105" s="187"/>
      <c r="AK105" s="187">
        <v>1388</v>
      </c>
      <c r="AL105" s="4"/>
      <c r="AN105" s="82"/>
    </row>
    <row r="106" spans="1:45" ht="19.5" thickBot="1" x14ac:dyDescent="0.35">
      <c r="H106" t="s">
        <v>76</v>
      </c>
      <c r="I106">
        <v>375</v>
      </c>
      <c r="J106" s="55"/>
      <c r="AA106" s="78" t="s">
        <v>172</v>
      </c>
      <c r="AB106" s="79">
        <v>1401</v>
      </c>
      <c r="AC106" s="81">
        <v>1600</v>
      </c>
      <c r="AD106" s="80">
        <v>42912.42</v>
      </c>
      <c r="AG106" s="186" t="s">
        <v>22</v>
      </c>
      <c r="AH106" s="187" t="s">
        <v>72</v>
      </c>
      <c r="AI106" s="187" t="s">
        <v>23</v>
      </c>
      <c r="AJ106" s="187"/>
      <c r="AK106" s="187">
        <v>1388</v>
      </c>
      <c r="AL106" s="4"/>
      <c r="AN106" s="82"/>
    </row>
    <row r="107" spans="1:45" ht="19.5" thickBot="1" x14ac:dyDescent="0.35">
      <c r="H107" t="s">
        <v>76</v>
      </c>
      <c r="I107">
        <v>376</v>
      </c>
      <c r="J107" s="55"/>
      <c r="AA107" s="78" t="s">
        <v>173</v>
      </c>
      <c r="AB107" s="79">
        <v>1601</v>
      </c>
      <c r="AC107" s="81">
        <v>1800</v>
      </c>
      <c r="AD107" s="80">
        <v>44326.67</v>
      </c>
      <c r="AG107" s="186" t="s">
        <v>21</v>
      </c>
      <c r="AH107" s="187" t="s">
        <v>71</v>
      </c>
      <c r="AI107" s="187" t="s">
        <v>23</v>
      </c>
      <c r="AJ107" s="187"/>
      <c r="AK107" s="187">
        <v>1388</v>
      </c>
      <c r="AL107" s="4"/>
      <c r="AN107" s="82"/>
    </row>
    <row r="108" spans="1:45" ht="19.5" thickBot="1" x14ac:dyDescent="0.35">
      <c r="H108" t="s">
        <v>76</v>
      </c>
      <c r="I108">
        <v>377</v>
      </c>
      <c r="J108" s="55"/>
      <c r="AA108" s="78" t="s">
        <v>174</v>
      </c>
      <c r="AB108" s="79">
        <v>1801</v>
      </c>
      <c r="AC108" s="81">
        <v>2000</v>
      </c>
      <c r="AD108" s="80">
        <v>45648.480000000003</v>
      </c>
      <c r="AG108" s="186" t="s">
        <v>21</v>
      </c>
      <c r="AH108" s="187" t="s">
        <v>72</v>
      </c>
      <c r="AI108" s="187" t="s">
        <v>23</v>
      </c>
      <c r="AJ108" s="187"/>
      <c r="AK108" s="187">
        <v>1388</v>
      </c>
      <c r="AL108" s="4"/>
    </row>
    <row r="109" spans="1:45" ht="19.5" thickBot="1" x14ac:dyDescent="0.35">
      <c r="H109" t="s">
        <v>76</v>
      </c>
      <c r="I109">
        <v>378</v>
      </c>
      <c r="J109" s="55"/>
      <c r="AA109" s="78" t="s">
        <v>175</v>
      </c>
      <c r="AB109" s="79">
        <v>2001</v>
      </c>
      <c r="AC109" s="81">
        <v>2200</v>
      </c>
      <c r="AD109" s="80">
        <v>46970.81</v>
      </c>
      <c r="AG109" s="113" t="s">
        <v>176</v>
      </c>
      <c r="AH109" s="185"/>
      <c r="AI109" s="185"/>
      <c r="AJ109" s="185"/>
      <c r="AK109" s="185"/>
      <c r="AL109" s="4"/>
    </row>
    <row r="110" spans="1:45" ht="19.5" thickBot="1" x14ac:dyDescent="0.35">
      <c r="H110" t="s">
        <v>76</v>
      </c>
      <c r="I110">
        <v>379</v>
      </c>
      <c r="J110" s="55"/>
      <c r="AA110" s="78" t="s">
        <v>177</v>
      </c>
      <c r="AB110" s="79">
        <v>2201</v>
      </c>
      <c r="AC110" s="81">
        <v>2400</v>
      </c>
      <c r="AD110" s="80">
        <v>48127.94</v>
      </c>
      <c r="AL110" s="4"/>
    </row>
    <row r="111" spans="1:45" ht="19.5" thickBot="1" x14ac:dyDescent="0.35">
      <c r="H111" t="s">
        <v>76</v>
      </c>
      <c r="I111">
        <v>380</v>
      </c>
      <c r="J111" s="55">
        <v>1.07</v>
      </c>
      <c r="AA111" s="78" t="s">
        <v>178</v>
      </c>
      <c r="AB111" s="81">
        <v>2401</v>
      </c>
      <c r="AC111" s="79" t="s">
        <v>179</v>
      </c>
      <c r="AD111" s="80">
        <v>49285.599999999999</v>
      </c>
      <c r="AG111" s="22" t="s">
        <v>180</v>
      </c>
      <c r="AH111" s="6"/>
      <c r="AI111" s="6"/>
    </row>
    <row r="112" spans="1:45" x14ac:dyDescent="0.3">
      <c r="H112" t="s">
        <v>76</v>
      </c>
      <c r="I112">
        <v>381</v>
      </c>
      <c r="J112" s="55">
        <v>2.12</v>
      </c>
      <c r="AA112" s="69" t="s">
        <v>181</v>
      </c>
      <c r="AG112" t="s">
        <v>145</v>
      </c>
      <c r="AH112" t="s">
        <v>146</v>
      </c>
      <c r="AI112" t="s">
        <v>15</v>
      </c>
    </row>
    <row r="113" spans="8:35" x14ac:dyDescent="0.3">
      <c r="H113" t="s">
        <v>76</v>
      </c>
      <c r="I113">
        <v>382</v>
      </c>
      <c r="J113" s="55">
        <v>3.2</v>
      </c>
      <c r="AG113" s="88" t="s">
        <v>19</v>
      </c>
      <c r="AH113" s="117" t="s">
        <v>71</v>
      </c>
      <c r="AI113" s="117">
        <v>56.83</v>
      </c>
    </row>
    <row r="114" spans="8:35" x14ac:dyDescent="0.3">
      <c r="H114" t="s">
        <v>76</v>
      </c>
      <c r="I114">
        <v>383</v>
      </c>
      <c r="J114" s="55">
        <v>4.2699999999999996</v>
      </c>
      <c r="AA114" s="21" t="s">
        <v>182</v>
      </c>
      <c r="AB114" s="73"/>
      <c r="AC114" s="73"/>
      <c r="AD114" s="73"/>
      <c r="AG114" s="88" t="s">
        <v>19</v>
      </c>
      <c r="AH114" s="117" t="s">
        <v>72</v>
      </c>
      <c r="AI114" s="117">
        <v>14.28</v>
      </c>
    </row>
    <row r="115" spans="8:35" x14ac:dyDescent="0.3">
      <c r="H115" t="s">
        <v>76</v>
      </c>
      <c r="I115">
        <v>384</v>
      </c>
      <c r="J115" s="55">
        <v>5.36</v>
      </c>
      <c r="AA115" s="60" t="s">
        <v>145</v>
      </c>
      <c r="AB115" s="60" t="s">
        <v>15</v>
      </c>
      <c r="AG115" s="88" t="s">
        <v>22</v>
      </c>
      <c r="AH115" s="117" t="s">
        <v>71</v>
      </c>
      <c r="AI115" s="117">
        <v>127.17</v>
      </c>
    </row>
    <row r="116" spans="8:35" x14ac:dyDescent="0.3">
      <c r="H116" t="s">
        <v>76</v>
      </c>
      <c r="I116">
        <v>385</v>
      </c>
      <c r="J116" s="55">
        <v>6.45</v>
      </c>
      <c r="AA116" s="88" t="s">
        <v>19</v>
      </c>
      <c r="AB116" s="117">
        <v>2094.87</v>
      </c>
      <c r="AG116" s="88" t="s">
        <v>22</v>
      </c>
      <c r="AH116" s="117" t="s">
        <v>72</v>
      </c>
      <c r="AI116" s="117">
        <v>16.04</v>
      </c>
    </row>
    <row r="117" spans="8:35" x14ac:dyDescent="0.3">
      <c r="H117" t="s">
        <v>76</v>
      </c>
      <c r="I117">
        <v>386</v>
      </c>
      <c r="J117" s="55">
        <v>7.56</v>
      </c>
      <c r="AA117" s="88" t="s">
        <v>22</v>
      </c>
      <c r="AB117" s="117">
        <v>2443.02</v>
      </c>
      <c r="AG117" s="88" t="s">
        <v>21</v>
      </c>
      <c r="AH117" s="117" t="s">
        <v>71</v>
      </c>
      <c r="AI117" s="117">
        <v>70.41</v>
      </c>
    </row>
    <row r="118" spans="8:35" x14ac:dyDescent="0.3">
      <c r="H118" t="s">
        <v>76</v>
      </c>
      <c r="I118">
        <v>387</v>
      </c>
      <c r="J118" s="55">
        <v>8.66</v>
      </c>
      <c r="AA118" s="88" t="s">
        <v>21</v>
      </c>
      <c r="AB118" s="117">
        <v>2268.9499999999998</v>
      </c>
      <c r="AG118" s="88" t="s">
        <v>21</v>
      </c>
      <c r="AH118" s="117" t="s">
        <v>72</v>
      </c>
      <c r="AI118" s="117">
        <v>8.64</v>
      </c>
    </row>
    <row r="119" spans="8:35" x14ac:dyDescent="0.3">
      <c r="H119" t="s">
        <v>76</v>
      </c>
      <c r="I119">
        <v>388</v>
      </c>
      <c r="J119" s="55">
        <v>9.81</v>
      </c>
    </row>
    <row r="120" spans="8:35" x14ac:dyDescent="0.3">
      <c r="H120" t="s">
        <v>76</v>
      </c>
      <c r="I120">
        <v>389</v>
      </c>
      <c r="J120" s="55">
        <v>10.95</v>
      </c>
      <c r="AA120" s="21" t="s">
        <v>183</v>
      </c>
      <c r="AB120" s="73"/>
      <c r="AC120" s="73"/>
      <c r="AD120" s="73"/>
    </row>
    <row r="121" spans="8:35" x14ac:dyDescent="0.3">
      <c r="H121" t="s">
        <v>76</v>
      </c>
      <c r="I121">
        <v>390</v>
      </c>
      <c r="J121" s="55">
        <v>12.11</v>
      </c>
      <c r="AA121" s="60" t="s">
        <v>145</v>
      </c>
      <c r="AB121" s="60" t="s">
        <v>135</v>
      </c>
      <c r="AC121" s="60" t="s">
        <v>15</v>
      </c>
    </row>
    <row r="122" spans="8:35" x14ac:dyDescent="0.3">
      <c r="H122" t="s">
        <v>76</v>
      </c>
      <c r="I122">
        <v>391</v>
      </c>
      <c r="J122" s="55">
        <v>13.3</v>
      </c>
      <c r="AA122" s="88" t="s">
        <v>19</v>
      </c>
      <c r="AB122" s="117" t="s">
        <v>71</v>
      </c>
      <c r="AC122" s="117">
        <v>1042.02</v>
      </c>
    </row>
    <row r="123" spans="8:35" x14ac:dyDescent="0.3">
      <c r="H123" t="s">
        <v>76</v>
      </c>
      <c r="I123">
        <v>392</v>
      </c>
      <c r="J123" s="55">
        <v>14.5</v>
      </c>
      <c r="AA123" s="88" t="s">
        <v>19</v>
      </c>
      <c r="AB123" s="117" t="s">
        <v>72</v>
      </c>
      <c r="AC123" s="117">
        <v>754.99</v>
      </c>
    </row>
    <row r="124" spans="8:35" x14ac:dyDescent="0.3">
      <c r="H124" t="s">
        <v>76</v>
      </c>
      <c r="I124">
        <v>393</v>
      </c>
      <c r="J124" s="55">
        <v>15.73</v>
      </c>
      <c r="AA124" s="88" t="s">
        <v>22</v>
      </c>
      <c r="AB124" s="117" t="s">
        <v>71</v>
      </c>
      <c r="AC124" s="117">
        <v>1839.2</v>
      </c>
    </row>
    <row r="125" spans="8:35" x14ac:dyDescent="0.3">
      <c r="H125" t="s">
        <v>76</v>
      </c>
      <c r="I125">
        <v>394</v>
      </c>
      <c r="J125" s="55">
        <v>16.97</v>
      </c>
      <c r="AA125" s="88" t="s">
        <v>22</v>
      </c>
      <c r="AB125" s="117" t="s">
        <v>72</v>
      </c>
      <c r="AC125" s="117">
        <v>772.35</v>
      </c>
    </row>
    <row r="126" spans="8:35" x14ac:dyDescent="0.3">
      <c r="H126" t="s">
        <v>76</v>
      </c>
      <c r="I126">
        <v>395</v>
      </c>
      <c r="J126" s="55">
        <v>18.25</v>
      </c>
      <c r="AA126" s="88" t="s">
        <v>21</v>
      </c>
      <c r="AB126" s="117" t="s">
        <v>71</v>
      </c>
      <c r="AC126" s="117">
        <v>1575.65</v>
      </c>
    </row>
    <row r="127" spans="8:35" x14ac:dyDescent="0.3">
      <c r="H127" t="s">
        <v>76</v>
      </c>
      <c r="I127">
        <v>396</v>
      </c>
      <c r="J127" s="55">
        <v>19.54</v>
      </c>
      <c r="AA127" s="88" t="s">
        <v>21</v>
      </c>
      <c r="AB127" s="117" t="s">
        <v>72</v>
      </c>
      <c r="AC127" s="117">
        <v>796.15</v>
      </c>
    </row>
    <row r="128" spans="8:35" x14ac:dyDescent="0.3">
      <c r="H128" t="s">
        <v>76</v>
      </c>
      <c r="I128">
        <v>397</v>
      </c>
      <c r="J128" s="55">
        <v>20.88</v>
      </c>
    </row>
    <row r="129" spans="8:30" x14ac:dyDescent="0.3">
      <c r="H129" t="s">
        <v>76</v>
      </c>
      <c r="I129">
        <v>398</v>
      </c>
      <c r="J129" s="55">
        <v>22.23</v>
      </c>
      <c r="AA129" s="21" t="s">
        <v>184</v>
      </c>
      <c r="AB129" s="73"/>
      <c r="AC129" s="73"/>
      <c r="AD129" s="73"/>
    </row>
    <row r="130" spans="8:30" x14ac:dyDescent="0.3">
      <c r="H130" t="s">
        <v>76</v>
      </c>
      <c r="I130">
        <v>399</v>
      </c>
      <c r="J130" s="55">
        <v>23.62</v>
      </c>
      <c r="AA130" s="60" t="s">
        <v>145</v>
      </c>
      <c r="AB130" s="60" t="s">
        <v>15</v>
      </c>
    </row>
    <row r="131" spans="8:30" x14ac:dyDescent="0.3">
      <c r="H131" t="s">
        <v>76</v>
      </c>
      <c r="I131">
        <v>400</v>
      </c>
      <c r="J131" s="55">
        <v>25.03</v>
      </c>
      <c r="AA131" s="88" t="s">
        <v>19</v>
      </c>
      <c r="AB131" s="117">
        <v>690</v>
      </c>
    </row>
    <row r="132" spans="8:30" x14ac:dyDescent="0.3">
      <c r="H132" t="s">
        <v>76</v>
      </c>
      <c r="I132">
        <v>401</v>
      </c>
      <c r="J132" s="55">
        <v>26.49</v>
      </c>
      <c r="AA132" s="88" t="s">
        <v>22</v>
      </c>
      <c r="AB132" s="117">
        <v>753</v>
      </c>
    </row>
    <row r="133" spans="8:30" x14ac:dyDescent="0.3">
      <c r="H133" t="s">
        <v>76</v>
      </c>
      <c r="I133">
        <v>402</v>
      </c>
      <c r="J133" s="55">
        <v>27.99</v>
      </c>
      <c r="AA133" s="88" t="s">
        <v>21</v>
      </c>
      <c r="AB133" s="117">
        <v>837</v>
      </c>
    </row>
    <row r="134" spans="8:30" x14ac:dyDescent="0.3">
      <c r="H134" t="s">
        <v>76</v>
      </c>
      <c r="I134">
        <v>403</v>
      </c>
      <c r="J134" s="55">
        <v>29.51</v>
      </c>
    </row>
    <row r="135" spans="8:30" x14ac:dyDescent="0.3">
      <c r="H135" t="s">
        <v>76</v>
      </c>
      <c r="I135">
        <v>404</v>
      </c>
      <c r="J135" s="55">
        <v>31.08</v>
      </c>
    </row>
    <row r="136" spans="8:30" x14ac:dyDescent="0.3">
      <c r="H136" t="s">
        <v>76</v>
      </c>
      <c r="I136">
        <v>405</v>
      </c>
      <c r="J136" s="55">
        <v>32.69</v>
      </c>
    </row>
    <row r="137" spans="8:30" x14ac:dyDescent="0.3">
      <c r="H137" t="s">
        <v>76</v>
      </c>
      <c r="I137">
        <v>406</v>
      </c>
      <c r="J137" s="55">
        <v>34.35</v>
      </c>
    </row>
    <row r="138" spans="8:30" x14ac:dyDescent="0.3">
      <c r="H138" t="s">
        <v>76</v>
      </c>
      <c r="I138">
        <v>407</v>
      </c>
      <c r="J138" s="55">
        <v>36.049999999999997</v>
      </c>
    </row>
    <row r="139" spans="8:30" x14ac:dyDescent="0.3">
      <c r="H139" t="s">
        <v>76</v>
      </c>
      <c r="I139">
        <v>408</v>
      </c>
      <c r="J139" s="55">
        <v>37.799999999999997</v>
      </c>
    </row>
    <row r="140" spans="8:30" x14ac:dyDescent="0.3">
      <c r="H140" t="s">
        <v>76</v>
      </c>
      <c r="I140">
        <v>409</v>
      </c>
      <c r="J140" s="55">
        <v>39.6</v>
      </c>
    </row>
    <row r="141" spans="8:30" x14ac:dyDescent="0.3">
      <c r="H141" t="s">
        <v>76</v>
      </c>
      <c r="I141">
        <v>410</v>
      </c>
      <c r="J141" s="55">
        <v>41.47</v>
      </c>
    </row>
    <row r="142" spans="8:30" x14ac:dyDescent="0.3">
      <c r="H142" t="s">
        <v>76</v>
      </c>
      <c r="I142">
        <v>411</v>
      </c>
      <c r="J142" s="55">
        <v>43.37</v>
      </c>
    </row>
    <row r="143" spans="8:30" x14ac:dyDescent="0.3">
      <c r="H143" t="s">
        <v>76</v>
      </c>
      <c r="I143">
        <v>412</v>
      </c>
      <c r="J143" s="55">
        <v>45.35</v>
      </c>
    </row>
    <row r="144" spans="8:30" x14ac:dyDescent="0.3">
      <c r="H144" t="s">
        <v>76</v>
      </c>
      <c r="I144">
        <v>413</v>
      </c>
      <c r="J144" s="55">
        <v>47.38</v>
      </c>
    </row>
    <row r="145" spans="8:10" x14ac:dyDescent="0.3">
      <c r="H145" t="s">
        <v>76</v>
      </c>
      <c r="I145">
        <v>414</v>
      </c>
      <c r="J145" s="55">
        <v>49.46</v>
      </c>
    </row>
    <row r="146" spans="8:10" x14ac:dyDescent="0.3">
      <c r="H146" t="s">
        <v>76</v>
      </c>
      <c r="I146">
        <v>415</v>
      </c>
      <c r="J146" s="55">
        <v>51.61</v>
      </c>
    </row>
    <row r="147" spans="8:10" x14ac:dyDescent="0.3">
      <c r="H147" t="s">
        <v>76</v>
      </c>
      <c r="I147">
        <v>416</v>
      </c>
      <c r="J147" s="55">
        <v>53.85</v>
      </c>
    </row>
    <row r="148" spans="8:10" x14ac:dyDescent="0.3">
      <c r="H148" t="s">
        <v>76</v>
      </c>
      <c r="I148">
        <v>417</v>
      </c>
      <c r="J148" s="55">
        <v>56.14</v>
      </c>
    </row>
    <row r="149" spans="8:10" x14ac:dyDescent="0.3">
      <c r="H149" t="s">
        <v>76</v>
      </c>
      <c r="I149">
        <v>418</v>
      </c>
      <c r="J149" s="55">
        <v>58.51</v>
      </c>
    </row>
    <row r="150" spans="8:10" x14ac:dyDescent="0.3">
      <c r="H150" t="s">
        <v>76</v>
      </c>
      <c r="I150">
        <v>419</v>
      </c>
      <c r="J150" s="55">
        <v>60.96</v>
      </c>
    </row>
    <row r="151" spans="8:10" x14ac:dyDescent="0.3">
      <c r="H151" t="s">
        <v>76</v>
      </c>
      <c r="I151">
        <v>420</v>
      </c>
      <c r="J151" s="55">
        <v>63.48</v>
      </c>
    </row>
    <row r="152" spans="8:10" x14ac:dyDescent="0.3">
      <c r="H152" t="s">
        <v>76</v>
      </c>
      <c r="I152">
        <v>421</v>
      </c>
      <c r="J152" s="55">
        <v>66.08</v>
      </c>
    </row>
    <row r="153" spans="8:10" x14ac:dyDescent="0.3">
      <c r="H153" t="s">
        <v>76</v>
      </c>
      <c r="I153">
        <v>422</v>
      </c>
      <c r="J153" s="55">
        <v>68.77</v>
      </c>
    </row>
    <row r="154" spans="8:10" x14ac:dyDescent="0.3">
      <c r="H154" t="s">
        <v>76</v>
      </c>
      <c r="I154">
        <v>423</v>
      </c>
      <c r="J154" s="55">
        <v>71.55</v>
      </c>
    </row>
    <row r="155" spans="8:10" x14ac:dyDescent="0.3">
      <c r="H155" t="s">
        <v>76</v>
      </c>
      <c r="I155">
        <v>424</v>
      </c>
      <c r="J155" s="55">
        <v>74.41</v>
      </c>
    </row>
    <row r="156" spans="8:10" x14ac:dyDescent="0.3">
      <c r="H156" t="s">
        <v>76</v>
      </c>
      <c r="I156">
        <v>425</v>
      </c>
      <c r="J156" s="55">
        <v>77.37</v>
      </c>
    </row>
    <row r="157" spans="8:10" x14ac:dyDescent="0.3">
      <c r="H157" t="s">
        <v>76</v>
      </c>
      <c r="I157">
        <v>426</v>
      </c>
      <c r="J157" s="55">
        <v>80.430000000000007</v>
      </c>
    </row>
    <row r="158" spans="8:10" x14ac:dyDescent="0.3">
      <c r="H158" t="s">
        <v>76</v>
      </c>
      <c r="I158">
        <v>427</v>
      </c>
      <c r="J158" s="55">
        <v>83.58</v>
      </c>
    </row>
    <row r="159" spans="8:10" x14ac:dyDescent="0.3">
      <c r="H159" t="s">
        <v>76</v>
      </c>
      <c r="I159">
        <v>428</v>
      </c>
      <c r="J159" s="55">
        <v>86.85</v>
      </c>
    </row>
    <row r="160" spans="8:10" x14ac:dyDescent="0.3">
      <c r="H160" t="s">
        <v>76</v>
      </c>
      <c r="I160">
        <v>429</v>
      </c>
      <c r="J160" s="55">
        <v>90.22</v>
      </c>
    </row>
    <row r="161" spans="8:10" x14ac:dyDescent="0.3">
      <c r="H161" t="s">
        <v>76</v>
      </c>
      <c r="I161">
        <v>430</v>
      </c>
      <c r="J161" s="55">
        <v>93.7</v>
      </c>
    </row>
    <row r="162" spans="8:10" x14ac:dyDescent="0.3">
      <c r="H162" t="s">
        <v>76</v>
      </c>
      <c r="I162">
        <v>431</v>
      </c>
      <c r="J162" s="55">
        <v>97.28</v>
      </c>
    </row>
    <row r="163" spans="8:10" x14ac:dyDescent="0.3">
      <c r="H163" t="s">
        <v>76</v>
      </c>
      <c r="I163">
        <v>432</v>
      </c>
      <c r="J163" s="55">
        <v>101</v>
      </c>
    </row>
    <row r="164" spans="8:10" x14ac:dyDescent="0.3">
      <c r="H164" t="s">
        <v>76</v>
      </c>
      <c r="I164">
        <v>433</v>
      </c>
      <c r="J164" s="55">
        <v>104.82</v>
      </c>
    </row>
    <row r="165" spans="8:10" x14ac:dyDescent="0.3">
      <c r="H165" t="s">
        <v>76</v>
      </c>
      <c r="I165">
        <v>434</v>
      </c>
      <c r="J165" s="55">
        <v>108.77</v>
      </c>
    </row>
    <row r="166" spans="8:10" x14ac:dyDescent="0.3">
      <c r="H166" t="s">
        <v>76</v>
      </c>
      <c r="I166">
        <v>435</v>
      </c>
      <c r="J166" s="55">
        <v>112.86</v>
      </c>
    </row>
    <row r="167" spans="8:10" x14ac:dyDescent="0.3">
      <c r="H167" t="s">
        <v>76</v>
      </c>
      <c r="I167">
        <v>436</v>
      </c>
      <c r="J167" s="55">
        <v>117.05</v>
      </c>
    </row>
    <row r="168" spans="8:10" x14ac:dyDescent="0.3">
      <c r="H168" t="s">
        <v>76</v>
      </c>
      <c r="I168">
        <v>437</v>
      </c>
      <c r="J168" s="55">
        <v>121.41</v>
      </c>
    </row>
    <row r="169" spans="8:10" x14ac:dyDescent="0.3">
      <c r="H169" t="s">
        <v>76</v>
      </c>
      <c r="I169">
        <v>438</v>
      </c>
      <c r="J169" s="55">
        <v>125.88</v>
      </c>
    </row>
    <row r="170" spans="8:10" x14ac:dyDescent="0.3">
      <c r="H170" t="s">
        <v>76</v>
      </c>
      <c r="I170">
        <v>439</v>
      </c>
      <c r="J170" s="55">
        <v>130.49</v>
      </c>
    </row>
    <row r="171" spans="8:10" x14ac:dyDescent="0.3">
      <c r="H171" t="s">
        <v>76</v>
      </c>
      <c r="I171">
        <v>440</v>
      </c>
      <c r="J171" s="55">
        <v>135.26</v>
      </c>
    </row>
    <row r="172" spans="8:10" x14ac:dyDescent="0.3">
      <c r="H172" t="s">
        <v>76</v>
      </c>
      <c r="I172">
        <v>441</v>
      </c>
      <c r="J172" s="55">
        <v>140.16999999999999</v>
      </c>
    </row>
    <row r="173" spans="8:10" x14ac:dyDescent="0.3">
      <c r="H173" t="s">
        <v>76</v>
      </c>
      <c r="I173">
        <v>442</v>
      </c>
      <c r="J173" s="55">
        <v>145.24</v>
      </c>
    </row>
    <row r="174" spans="8:10" x14ac:dyDescent="0.3">
      <c r="H174" t="s">
        <v>76</v>
      </c>
      <c r="I174">
        <v>443</v>
      </c>
      <c r="J174" s="55">
        <v>150.44999999999999</v>
      </c>
    </row>
    <row r="175" spans="8:10" x14ac:dyDescent="0.3">
      <c r="H175" t="s">
        <v>76</v>
      </c>
      <c r="I175">
        <v>444</v>
      </c>
      <c r="J175" s="55">
        <v>155.83000000000001</v>
      </c>
    </row>
    <row r="176" spans="8:10" x14ac:dyDescent="0.3">
      <c r="H176" t="s">
        <v>76</v>
      </c>
      <c r="I176">
        <v>445</v>
      </c>
      <c r="J176" s="55">
        <v>161.37</v>
      </c>
    </row>
    <row r="177" spans="8:10" x14ac:dyDescent="0.3">
      <c r="H177" t="s">
        <v>76</v>
      </c>
      <c r="I177">
        <v>446</v>
      </c>
      <c r="J177" s="55">
        <v>167.06</v>
      </c>
    </row>
    <row r="178" spans="8:10" x14ac:dyDescent="0.3">
      <c r="H178" t="s">
        <v>76</v>
      </c>
      <c r="I178">
        <v>447</v>
      </c>
      <c r="J178" s="55">
        <v>172.93</v>
      </c>
    </row>
    <row r="179" spans="8:10" x14ac:dyDescent="0.3">
      <c r="H179" t="s">
        <v>76</v>
      </c>
      <c r="I179">
        <v>448</v>
      </c>
      <c r="J179" s="55">
        <v>178.97</v>
      </c>
    </row>
    <row r="180" spans="8:10" x14ac:dyDescent="0.3">
      <c r="H180" t="s">
        <v>76</v>
      </c>
      <c r="I180">
        <v>449</v>
      </c>
      <c r="J180" s="55">
        <v>185.17</v>
      </c>
    </row>
    <row r="181" spans="8:10" x14ac:dyDescent="0.3">
      <c r="H181" t="s">
        <v>76</v>
      </c>
      <c r="I181">
        <v>450</v>
      </c>
      <c r="J181" s="55">
        <v>191.56</v>
      </c>
    </row>
    <row r="182" spans="8:10" x14ac:dyDescent="0.3">
      <c r="H182" t="s">
        <v>76</v>
      </c>
      <c r="I182">
        <v>451</v>
      </c>
      <c r="J182" s="55">
        <v>198.11</v>
      </c>
    </row>
    <row r="183" spans="8:10" x14ac:dyDescent="0.3">
      <c r="H183" t="s">
        <v>76</v>
      </c>
      <c r="I183">
        <v>452</v>
      </c>
      <c r="J183" s="55">
        <v>204.86</v>
      </c>
    </row>
    <row r="184" spans="8:10" x14ac:dyDescent="0.3">
      <c r="H184" t="s">
        <v>76</v>
      </c>
      <c r="I184">
        <v>453</v>
      </c>
      <c r="J184" s="55">
        <v>211.77</v>
      </c>
    </row>
    <row r="185" spans="8:10" x14ac:dyDescent="0.3">
      <c r="H185" t="s">
        <v>76</v>
      </c>
      <c r="I185">
        <v>454</v>
      </c>
      <c r="J185" s="55">
        <v>218.89</v>
      </c>
    </row>
    <row r="186" spans="8:10" x14ac:dyDescent="0.3">
      <c r="H186" t="s">
        <v>76</v>
      </c>
      <c r="I186">
        <v>455</v>
      </c>
      <c r="J186" s="55">
        <v>226.17</v>
      </c>
    </row>
    <row r="187" spans="8:10" x14ac:dyDescent="0.3">
      <c r="H187" t="s">
        <v>76</v>
      </c>
      <c r="I187">
        <v>456</v>
      </c>
      <c r="J187" s="55">
        <v>233.65</v>
      </c>
    </row>
    <row r="188" spans="8:10" x14ac:dyDescent="0.3">
      <c r="H188" t="s">
        <v>76</v>
      </c>
      <c r="I188">
        <v>457</v>
      </c>
      <c r="J188" s="55">
        <v>241.31</v>
      </c>
    </row>
    <row r="189" spans="8:10" x14ac:dyDescent="0.3">
      <c r="H189" t="s">
        <v>76</v>
      </c>
      <c r="I189">
        <v>458</v>
      </c>
      <c r="J189" s="55">
        <v>249.16</v>
      </c>
    </row>
    <row r="190" spans="8:10" x14ac:dyDescent="0.3">
      <c r="H190" t="s">
        <v>76</v>
      </c>
      <c r="I190">
        <v>459</v>
      </c>
      <c r="J190" s="55">
        <v>257.19</v>
      </c>
    </row>
    <row r="191" spans="8:10" x14ac:dyDescent="0.3">
      <c r="H191" t="s">
        <v>76</v>
      </c>
      <c r="I191">
        <v>460</v>
      </c>
      <c r="J191" s="55">
        <v>265.42</v>
      </c>
    </row>
    <row r="192" spans="8:10" x14ac:dyDescent="0.3">
      <c r="H192" t="s">
        <v>76</v>
      </c>
      <c r="I192">
        <v>461</v>
      </c>
      <c r="J192" s="55">
        <v>273.85000000000002</v>
      </c>
    </row>
    <row r="193" spans="8:10" x14ac:dyDescent="0.3">
      <c r="H193" t="s">
        <v>76</v>
      </c>
      <c r="I193">
        <v>462</v>
      </c>
      <c r="J193" s="55">
        <v>282.45999999999998</v>
      </c>
    </row>
    <row r="194" spans="8:10" x14ac:dyDescent="0.3">
      <c r="H194" t="s">
        <v>76</v>
      </c>
      <c r="I194">
        <v>463</v>
      </c>
      <c r="J194" s="55">
        <v>291.25</v>
      </c>
    </row>
    <row r="195" spans="8:10" x14ac:dyDescent="0.3">
      <c r="H195" t="s">
        <v>76</v>
      </c>
      <c r="I195">
        <v>464</v>
      </c>
      <c r="J195" s="55">
        <v>300.25</v>
      </c>
    </row>
    <row r="196" spans="8:10" x14ac:dyDescent="0.3">
      <c r="H196" t="s">
        <v>76</v>
      </c>
      <c r="I196">
        <v>465</v>
      </c>
      <c r="J196" s="55">
        <v>309.41000000000003</v>
      </c>
    </row>
    <row r="197" spans="8:10" x14ac:dyDescent="0.3">
      <c r="H197" t="s">
        <v>76</v>
      </c>
      <c r="I197">
        <v>466</v>
      </c>
      <c r="J197" s="55">
        <v>318.77</v>
      </c>
    </row>
    <row r="198" spans="8:10" x14ac:dyDescent="0.3">
      <c r="H198" t="s">
        <v>76</v>
      </c>
      <c r="I198">
        <v>467</v>
      </c>
      <c r="J198" s="55">
        <v>328.31</v>
      </c>
    </row>
    <row r="199" spans="8:10" x14ac:dyDescent="0.3">
      <c r="H199" t="s">
        <v>76</v>
      </c>
      <c r="I199">
        <v>468</v>
      </c>
      <c r="J199" s="55">
        <v>338.03</v>
      </c>
    </row>
    <row r="200" spans="8:10" x14ac:dyDescent="0.3">
      <c r="H200" t="s">
        <v>76</v>
      </c>
      <c r="I200">
        <v>469</v>
      </c>
      <c r="J200" s="55">
        <v>347.91</v>
      </c>
    </row>
    <row r="201" spans="8:10" x14ac:dyDescent="0.3">
      <c r="H201" t="s">
        <v>76</v>
      </c>
      <c r="I201">
        <v>470</v>
      </c>
      <c r="J201" s="55">
        <v>357.98</v>
      </c>
    </row>
    <row r="202" spans="8:10" x14ac:dyDescent="0.3">
      <c r="H202" t="s">
        <v>76</v>
      </c>
      <c r="I202">
        <v>471</v>
      </c>
      <c r="J202" s="55">
        <v>368.21</v>
      </c>
    </row>
    <row r="203" spans="8:10" x14ac:dyDescent="0.3">
      <c r="H203" t="s">
        <v>76</v>
      </c>
      <c r="I203">
        <v>472</v>
      </c>
      <c r="J203" s="55">
        <v>378.61</v>
      </c>
    </row>
    <row r="204" spans="8:10" x14ac:dyDescent="0.3">
      <c r="H204" t="s">
        <v>76</v>
      </c>
      <c r="I204">
        <v>473</v>
      </c>
      <c r="J204" s="55">
        <v>389.16</v>
      </c>
    </row>
    <row r="205" spans="8:10" x14ac:dyDescent="0.3">
      <c r="H205" t="s">
        <v>76</v>
      </c>
      <c r="I205">
        <v>474</v>
      </c>
      <c r="J205" s="55">
        <v>399.88</v>
      </c>
    </row>
    <row r="206" spans="8:10" x14ac:dyDescent="0.3">
      <c r="H206" t="s">
        <v>76</v>
      </c>
      <c r="I206">
        <v>475</v>
      </c>
      <c r="J206" s="55">
        <v>410.72</v>
      </c>
    </row>
    <row r="207" spans="8:10" x14ac:dyDescent="0.3">
      <c r="H207" t="s">
        <v>76</v>
      </c>
      <c r="I207">
        <v>476</v>
      </c>
      <c r="J207" s="55">
        <v>421.73</v>
      </c>
    </row>
    <row r="208" spans="8:10" x14ac:dyDescent="0.3">
      <c r="H208" t="s">
        <v>76</v>
      </c>
      <c r="I208">
        <v>477</v>
      </c>
      <c r="J208" s="55">
        <v>432.86</v>
      </c>
    </row>
    <row r="209" spans="8:10" x14ac:dyDescent="0.3">
      <c r="H209" t="s">
        <v>76</v>
      </c>
      <c r="I209">
        <v>478</v>
      </c>
      <c r="J209" s="55">
        <v>444.13</v>
      </c>
    </row>
    <row r="210" spans="8:10" x14ac:dyDescent="0.3">
      <c r="H210" t="s">
        <v>76</v>
      </c>
      <c r="I210">
        <v>479</v>
      </c>
      <c r="J210" s="55">
        <v>455.52</v>
      </c>
    </row>
    <row r="211" spans="8:10" x14ac:dyDescent="0.3">
      <c r="H211" t="s">
        <v>76</v>
      </c>
      <c r="I211">
        <v>480</v>
      </c>
      <c r="J211" s="55">
        <v>467</v>
      </c>
    </row>
    <row r="212" spans="8:10" x14ac:dyDescent="0.3">
      <c r="H212" t="s">
        <v>76</v>
      </c>
      <c r="I212">
        <v>481</v>
      </c>
      <c r="J212" s="55">
        <v>478.6</v>
      </c>
    </row>
    <row r="213" spans="8:10" x14ac:dyDescent="0.3">
      <c r="H213" t="s">
        <v>76</v>
      </c>
      <c r="I213">
        <v>482</v>
      </c>
      <c r="J213" s="55">
        <v>490.3</v>
      </c>
    </row>
    <row r="214" spans="8:10" x14ac:dyDescent="0.3">
      <c r="H214" t="s">
        <v>76</v>
      </c>
      <c r="I214">
        <v>483</v>
      </c>
      <c r="J214" s="55">
        <v>502.07</v>
      </c>
    </row>
    <row r="215" spans="8:10" x14ac:dyDescent="0.3">
      <c r="H215" t="s">
        <v>76</v>
      </c>
      <c r="I215">
        <v>484</v>
      </c>
      <c r="J215" s="55">
        <v>513.94000000000005</v>
      </c>
    </row>
    <row r="216" spans="8:10" x14ac:dyDescent="0.3">
      <c r="H216" t="s">
        <v>76</v>
      </c>
      <c r="I216">
        <v>485</v>
      </c>
      <c r="J216" s="55">
        <v>525.88</v>
      </c>
    </row>
    <row r="217" spans="8:10" x14ac:dyDescent="0.3">
      <c r="H217" t="s">
        <v>76</v>
      </c>
      <c r="I217">
        <v>486</v>
      </c>
      <c r="J217" s="55">
        <v>537.86</v>
      </c>
    </row>
    <row r="218" spans="8:10" x14ac:dyDescent="0.3">
      <c r="H218" t="s">
        <v>76</v>
      </c>
      <c r="I218">
        <v>487</v>
      </c>
      <c r="J218" s="55">
        <v>549.88</v>
      </c>
    </row>
    <row r="219" spans="8:10" x14ac:dyDescent="0.3">
      <c r="H219" t="s">
        <v>76</v>
      </c>
      <c r="I219">
        <v>488</v>
      </c>
      <c r="J219" s="55">
        <v>561.96</v>
      </c>
    </row>
    <row r="220" spans="8:10" x14ac:dyDescent="0.3">
      <c r="H220" t="s">
        <v>76</v>
      </c>
      <c r="I220">
        <v>489</v>
      </c>
      <c r="J220" s="55">
        <v>574.04999999999995</v>
      </c>
    </row>
    <row r="221" spans="8:10" x14ac:dyDescent="0.3">
      <c r="H221" t="s">
        <v>76</v>
      </c>
      <c r="I221">
        <v>490</v>
      </c>
      <c r="J221" s="55">
        <v>586.15</v>
      </c>
    </row>
    <row r="222" spans="8:10" x14ac:dyDescent="0.3">
      <c r="H222" t="s">
        <v>76</v>
      </c>
      <c r="I222">
        <v>491</v>
      </c>
      <c r="J222" s="55">
        <v>598.28</v>
      </c>
    </row>
    <row r="223" spans="8:10" x14ac:dyDescent="0.3">
      <c r="H223" t="s">
        <v>76</v>
      </c>
      <c r="I223">
        <v>492</v>
      </c>
      <c r="J223" s="55">
        <v>610.39</v>
      </c>
    </row>
    <row r="224" spans="8:10" x14ac:dyDescent="0.3">
      <c r="H224" t="s">
        <v>76</v>
      </c>
      <c r="I224">
        <v>493</v>
      </c>
      <c r="J224" s="55">
        <v>622.48</v>
      </c>
    </row>
    <row r="225" spans="8:10" x14ac:dyDescent="0.3">
      <c r="H225" t="s">
        <v>76</v>
      </c>
      <c r="I225">
        <v>494</v>
      </c>
      <c r="J225" s="55">
        <v>634.54</v>
      </c>
    </row>
    <row r="226" spans="8:10" x14ac:dyDescent="0.3">
      <c r="H226" t="s">
        <v>76</v>
      </c>
      <c r="I226">
        <v>495</v>
      </c>
      <c r="J226" s="55">
        <v>646.58000000000004</v>
      </c>
    </row>
    <row r="227" spans="8:10" x14ac:dyDescent="0.3">
      <c r="H227" t="s">
        <v>76</v>
      </c>
      <c r="I227">
        <v>496</v>
      </c>
      <c r="J227" s="55">
        <v>658.55</v>
      </c>
    </row>
    <row r="228" spans="8:10" x14ac:dyDescent="0.3">
      <c r="H228" t="s">
        <v>76</v>
      </c>
      <c r="I228">
        <v>497</v>
      </c>
      <c r="J228" s="55">
        <v>670.47</v>
      </c>
    </row>
    <row r="229" spans="8:10" x14ac:dyDescent="0.3">
      <c r="H229" t="s">
        <v>76</v>
      </c>
      <c r="I229">
        <v>498</v>
      </c>
      <c r="J229" s="55">
        <v>682.32</v>
      </c>
    </row>
    <row r="230" spans="8:10" x14ac:dyDescent="0.3">
      <c r="H230" t="s">
        <v>76</v>
      </c>
      <c r="I230">
        <v>499</v>
      </c>
      <c r="J230" s="55">
        <v>694.09</v>
      </c>
    </row>
    <row r="231" spans="8:10" x14ac:dyDescent="0.3">
      <c r="H231" t="s">
        <v>76</v>
      </c>
      <c r="I231">
        <v>500</v>
      </c>
      <c r="J231" s="55">
        <v>705.77</v>
      </c>
    </row>
    <row r="232" spans="8:10" x14ac:dyDescent="0.3">
      <c r="H232" t="s">
        <v>76</v>
      </c>
      <c r="I232">
        <v>501</v>
      </c>
      <c r="J232" s="55">
        <v>717.34</v>
      </c>
    </row>
    <row r="233" spans="8:10" x14ac:dyDescent="0.3">
      <c r="H233" t="s">
        <v>76</v>
      </c>
      <c r="I233">
        <v>502</v>
      </c>
      <c r="J233" s="55">
        <v>728.81</v>
      </c>
    </row>
    <row r="234" spans="8:10" x14ac:dyDescent="0.3">
      <c r="H234" t="s">
        <v>76</v>
      </c>
      <c r="I234">
        <v>503</v>
      </c>
      <c r="J234" s="55">
        <v>740.15</v>
      </c>
    </row>
    <row r="235" spans="8:10" x14ac:dyDescent="0.3">
      <c r="H235" t="s">
        <v>76</v>
      </c>
      <c r="I235">
        <v>504</v>
      </c>
      <c r="J235" s="55">
        <v>751.36</v>
      </c>
    </row>
    <row r="236" spans="8:10" x14ac:dyDescent="0.3">
      <c r="H236" t="s">
        <v>76</v>
      </c>
      <c r="I236">
        <v>505</v>
      </c>
      <c r="J236" s="55">
        <v>762.45</v>
      </c>
    </row>
    <row r="237" spans="8:10" x14ac:dyDescent="0.3">
      <c r="H237" t="s">
        <v>76</v>
      </c>
      <c r="I237">
        <v>506</v>
      </c>
      <c r="J237" s="55">
        <v>773.38</v>
      </c>
    </row>
    <row r="238" spans="8:10" x14ac:dyDescent="0.3">
      <c r="H238" t="s">
        <v>76</v>
      </c>
      <c r="I238">
        <v>507</v>
      </c>
      <c r="J238" s="55">
        <v>784.15</v>
      </c>
    </row>
    <row r="239" spans="8:10" x14ac:dyDescent="0.3">
      <c r="H239" t="s">
        <v>76</v>
      </c>
      <c r="I239">
        <v>508</v>
      </c>
      <c r="J239" s="55">
        <v>794.77</v>
      </c>
    </row>
    <row r="240" spans="8:10" x14ac:dyDescent="0.3">
      <c r="H240" t="s">
        <v>76</v>
      </c>
      <c r="I240">
        <v>509</v>
      </c>
      <c r="J240" s="55">
        <v>805.23</v>
      </c>
    </row>
    <row r="241" spans="8:10" x14ac:dyDescent="0.3">
      <c r="H241" t="s">
        <v>76</v>
      </c>
      <c r="I241">
        <v>510</v>
      </c>
      <c r="J241" s="55">
        <v>815.5</v>
      </c>
    </row>
    <row r="242" spans="8:10" x14ac:dyDescent="0.3">
      <c r="H242" t="s">
        <v>76</v>
      </c>
      <c r="I242">
        <v>511</v>
      </c>
      <c r="J242" s="55">
        <v>825.61</v>
      </c>
    </row>
    <row r="243" spans="8:10" x14ac:dyDescent="0.3">
      <c r="H243" t="s">
        <v>76</v>
      </c>
      <c r="I243">
        <v>512</v>
      </c>
      <c r="J243" s="55">
        <v>835.52</v>
      </c>
    </row>
    <row r="244" spans="8:10" x14ac:dyDescent="0.3">
      <c r="H244" t="s">
        <v>76</v>
      </c>
      <c r="I244">
        <v>513</v>
      </c>
      <c r="J244" s="55">
        <v>845.24</v>
      </c>
    </row>
    <row r="245" spans="8:10" x14ac:dyDescent="0.3">
      <c r="H245" t="s">
        <v>76</v>
      </c>
      <c r="I245">
        <v>514</v>
      </c>
      <c r="J245" s="55">
        <v>854.77</v>
      </c>
    </row>
    <row r="246" spans="8:10" x14ac:dyDescent="0.3">
      <c r="H246" t="s">
        <v>76</v>
      </c>
      <c r="I246">
        <v>515</v>
      </c>
      <c r="J246" s="55">
        <v>864.1</v>
      </c>
    </row>
    <row r="247" spans="8:10" x14ac:dyDescent="0.3">
      <c r="H247" t="s">
        <v>76</v>
      </c>
      <c r="I247">
        <v>516</v>
      </c>
      <c r="J247" s="55">
        <v>873.22</v>
      </c>
    </row>
    <row r="248" spans="8:10" x14ac:dyDescent="0.3">
      <c r="H248" t="s">
        <v>76</v>
      </c>
      <c r="I248">
        <v>517</v>
      </c>
      <c r="J248" s="55">
        <v>882.14</v>
      </c>
    </row>
    <row r="249" spans="8:10" x14ac:dyDescent="0.3">
      <c r="H249" t="s">
        <v>76</v>
      </c>
      <c r="I249">
        <v>518</v>
      </c>
      <c r="J249" s="55">
        <v>890.86</v>
      </c>
    </row>
    <row r="250" spans="8:10" x14ac:dyDescent="0.3">
      <c r="H250" t="s">
        <v>76</v>
      </c>
      <c r="I250">
        <v>519</v>
      </c>
      <c r="J250" s="55">
        <v>899.35</v>
      </c>
    </row>
    <row r="251" spans="8:10" x14ac:dyDescent="0.3">
      <c r="H251" t="s">
        <v>76</v>
      </c>
      <c r="I251">
        <v>520</v>
      </c>
      <c r="J251" s="55">
        <v>907.65</v>
      </c>
    </row>
    <row r="252" spans="8:10" x14ac:dyDescent="0.3">
      <c r="H252" t="s">
        <v>76</v>
      </c>
      <c r="I252">
        <v>521</v>
      </c>
      <c r="J252" s="55">
        <v>915.72</v>
      </c>
    </row>
    <row r="253" spans="8:10" x14ac:dyDescent="0.3">
      <c r="H253" t="s">
        <v>76</v>
      </c>
      <c r="I253">
        <v>522</v>
      </c>
      <c r="J253" s="55">
        <v>923.58</v>
      </c>
    </row>
    <row r="254" spans="8:10" x14ac:dyDescent="0.3">
      <c r="H254" t="s">
        <v>76</v>
      </c>
      <c r="I254">
        <v>523</v>
      </c>
      <c r="J254" s="55">
        <v>931.23</v>
      </c>
    </row>
    <row r="255" spans="8:10" x14ac:dyDescent="0.3">
      <c r="H255" t="s">
        <v>76</v>
      </c>
      <c r="I255">
        <v>524</v>
      </c>
      <c r="J255" s="55">
        <v>938.67</v>
      </c>
    </row>
    <row r="256" spans="8:10" x14ac:dyDescent="0.3">
      <c r="H256" t="s">
        <v>76</v>
      </c>
      <c r="I256">
        <v>525</v>
      </c>
      <c r="J256" s="55">
        <v>945.9</v>
      </c>
    </row>
    <row r="257" spans="8:10" x14ac:dyDescent="0.3">
      <c r="H257" t="s">
        <v>76</v>
      </c>
      <c r="I257">
        <v>526</v>
      </c>
      <c r="J257" s="55">
        <v>952.9</v>
      </c>
    </row>
    <row r="258" spans="8:10" x14ac:dyDescent="0.3">
      <c r="H258" t="s">
        <v>76</v>
      </c>
      <c r="I258">
        <v>527</v>
      </c>
      <c r="J258" s="55">
        <v>959.69</v>
      </c>
    </row>
    <row r="259" spans="8:10" x14ac:dyDescent="0.3">
      <c r="H259" t="s">
        <v>76</v>
      </c>
      <c r="I259">
        <v>528</v>
      </c>
      <c r="J259" s="55">
        <v>966.27</v>
      </c>
    </row>
    <row r="260" spans="8:10" x14ac:dyDescent="0.3">
      <c r="H260" t="s">
        <v>76</v>
      </c>
      <c r="I260">
        <v>529</v>
      </c>
      <c r="J260" s="55">
        <v>972.65</v>
      </c>
    </row>
    <row r="261" spans="8:10" x14ac:dyDescent="0.3">
      <c r="H261" t="s">
        <v>76</v>
      </c>
      <c r="I261">
        <v>530</v>
      </c>
      <c r="J261" s="55">
        <v>978.83</v>
      </c>
    </row>
    <row r="262" spans="8:10" x14ac:dyDescent="0.3">
      <c r="H262" t="s">
        <v>76</v>
      </c>
      <c r="I262">
        <v>531</v>
      </c>
      <c r="J262" s="55">
        <v>984.79</v>
      </c>
    </row>
    <row r="263" spans="8:10" x14ac:dyDescent="0.3">
      <c r="H263" t="s">
        <v>76</v>
      </c>
      <c r="I263">
        <v>532</v>
      </c>
      <c r="J263" s="55">
        <v>990.55</v>
      </c>
    </row>
    <row r="264" spans="8:10" x14ac:dyDescent="0.3">
      <c r="H264" t="s">
        <v>76</v>
      </c>
      <c r="I264">
        <v>533</v>
      </c>
      <c r="J264" s="55">
        <v>996.11</v>
      </c>
    </row>
    <row r="265" spans="8:10" x14ac:dyDescent="0.3">
      <c r="H265" t="s">
        <v>76</v>
      </c>
      <c r="I265">
        <v>534</v>
      </c>
      <c r="J265" s="55">
        <v>1001.49</v>
      </c>
    </row>
    <row r="266" spans="8:10" x14ac:dyDescent="0.3">
      <c r="H266" t="s">
        <v>76</v>
      </c>
      <c r="I266">
        <v>535</v>
      </c>
      <c r="J266" s="55">
        <v>1006.67</v>
      </c>
    </row>
    <row r="267" spans="8:10" x14ac:dyDescent="0.3">
      <c r="H267" t="s">
        <v>76</v>
      </c>
      <c r="I267">
        <v>536</v>
      </c>
      <c r="J267" s="55">
        <v>1011.65</v>
      </c>
    </row>
    <row r="268" spans="8:10" x14ac:dyDescent="0.3">
      <c r="H268" t="s">
        <v>76</v>
      </c>
      <c r="I268">
        <v>537</v>
      </c>
      <c r="J268" s="55">
        <v>1016.46</v>
      </c>
    </row>
    <row r="269" spans="8:10" x14ac:dyDescent="0.3">
      <c r="H269" t="s">
        <v>76</v>
      </c>
      <c r="I269">
        <v>538</v>
      </c>
      <c r="J269" s="55">
        <v>1021.07</v>
      </c>
    </row>
    <row r="270" spans="8:10" x14ac:dyDescent="0.3">
      <c r="H270" t="s">
        <v>76</v>
      </c>
      <c r="I270">
        <v>539</v>
      </c>
      <c r="J270" s="55">
        <v>1025.52</v>
      </c>
    </row>
    <row r="271" spans="8:10" x14ac:dyDescent="0.3">
      <c r="H271" t="s">
        <v>76</v>
      </c>
      <c r="I271">
        <v>540</v>
      </c>
      <c r="J271" s="55">
        <v>1029.78</v>
      </c>
    </row>
    <row r="272" spans="8:10" x14ac:dyDescent="0.3">
      <c r="H272" t="s">
        <v>76</v>
      </c>
      <c r="I272">
        <v>541</v>
      </c>
      <c r="J272" s="55">
        <v>1033.8800000000001</v>
      </c>
    </row>
    <row r="273" spans="8:10" x14ac:dyDescent="0.3">
      <c r="H273" t="s">
        <v>76</v>
      </c>
      <c r="I273">
        <v>542</v>
      </c>
      <c r="J273" s="55">
        <v>1037.82</v>
      </c>
    </row>
    <row r="274" spans="8:10" x14ac:dyDescent="0.3">
      <c r="H274" t="s">
        <v>76</v>
      </c>
      <c r="I274">
        <v>543</v>
      </c>
      <c r="J274" s="55">
        <v>1041.5899999999999</v>
      </c>
    </row>
    <row r="275" spans="8:10" x14ac:dyDescent="0.3">
      <c r="H275" t="s">
        <v>76</v>
      </c>
      <c r="I275">
        <v>544</v>
      </c>
      <c r="J275" s="55">
        <v>1045.2</v>
      </c>
    </row>
    <row r="276" spans="8:10" x14ac:dyDescent="0.3">
      <c r="H276" t="s">
        <v>76</v>
      </c>
      <c r="I276">
        <v>545</v>
      </c>
      <c r="J276" s="55">
        <v>1048.6600000000001</v>
      </c>
    </row>
    <row r="277" spans="8:10" x14ac:dyDescent="0.3">
      <c r="H277" t="s">
        <v>76</v>
      </c>
      <c r="I277">
        <v>546</v>
      </c>
      <c r="J277" s="55">
        <v>1051.97</v>
      </c>
    </row>
    <row r="278" spans="8:10" x14ac:dyDescent="0.3">
      <c r="H278" t="s">
        <v>76</v>
      </c>
      <c r="I278">
        <v>547</v>
      </c>
      <c r="J278" s="55">
        <v>1055.1400000000001</v>
      </c>
    </row>
    <row r="279" spans="8:10" x14ac:dyDescent="0.3">
      <c r="H279" t="s">
        <v>76</v>
      </c>
      <c r="I279">
        <v>548</v>
      </c>
      <c r="J279" s="55">
        <v>1058.1600000000001</v>
      </c>
    </row>
    <row r="280" spans="8:10" x14ac:dyDescent="0.3">
      <c r="H280" t="s">
        <v>76</v>
      </c>
      <c r="I280">
        <v>549</v>
      </c>
      <c r="J280" s="55">
        <v>1061.06</v>
      </c>
    </row>
    <row r="281" spans="8:10" x14ac:dyDescent="0.3">
      <c r="H281" t="s">
        <v>76</v>
      </c>
      <c r="I281">
        <v>550</v>
      </c>
      <c r="J281" s="55">
        <v>1063.83</v>
      </c>
    </row>
    <row r="282" spans="8:10" x14ac:dyDescent="0.3">
      <c r="H282" t="s">
        <v>76</v>
      </c>
      <c r="I282">
        <v>551</v>
      </c>
      <c r="J282" s="55">
        <v>1066.45</v>
      </c>
    </row>
    <row r="283" spans="8:10" x14ac:dyDescent="0.3">
      <c r="H283" t="s">
        <v>76</v>
      </c>
      <c r="I283">
        <v>552</v>
      </c>
      <c r="J283" s="55">
        <v>1068.96</v>
      </c>
    </row>
    <row r="284" spans="8:10" x14ac:dyDescent="0.3">
      <c r="H284" t="s">
        <v>76</v>
      </c>
      <c r="I284">
        <v>553</v>
      </c>
      <c r="J284" s="55">
        <v>1071.3499999999999</v>
      </c>
    </row>
    <row r="285" spans="8:10" x14ac:dyDescent="0.3">
      <c r="H285" t="s">
        <v>76</v>
      </c>
      <c r="I285">
        <v>554</v>
      </c>
      <c r="J285" s="55">
        <v>1073.6300000000001</v>
      </c>
    </row>
    <row r="286" spans="8:10" x14ac:dyDescent="0.3">
      <c r="H286" t="s">
        <v>76</v>
      </c>
      <c r="I286">
        <v>555</v>
      </c>
      <c r="J286" s="55">
        <v>1075.8</v>
      </c>
    </row>
    <row r="287" spans="8:10" x14ac:dyDescent="0.3">
      <c r="H287" t="s">
        <v>76</v>
      </c>
      <c r="I287">
        <v>556</v>
      </c>
      <c r="J287" s="55">
        <v>1077.8599999999999</v>
      </c>
    </row>
    <row r="288" spans="8:10" x14ac:dyDescent="0.3">
      <c r="H288" t="s">
        <v>76</v>
      </c>
      <c r="I288">
        <v>557</v>
      </c>
      <c r="J288" s="55">
        <v>1079.82</v>
      </c>
    </row>
    <row r="289" spans="8:10" x14ac:dyDescent="0.3">
      <c r="H289" t="s">
        <v>76</v>
      </c>
      <c r="I289">
        <v>558</v>
      </c>
      <c r="J289" s="55">
        <v>1081.69</v>
      </c>
    </row>
    <row r="290" spans="8:10" x14ac:dyDescent="0.3">
      <c r="H290" t="s">
        <v>76</v>
      </c>
      <c r="I290">
        <v>559</v>
      </c>
      <c r="J290" s="55">
        <v>1083.47</v>
      </c>
    </row>
    <row r="291" spans="8:10" x14ac:dyDescent="0.3">
      <c r="H291" t="s">
        <v>76</v>
      </c>
      <c r="I291">
        <v>560</v>
      </c>
      <c r="J291" s="55">
        <v>1085.1600000000001</v>
      </c>
    </row>
    <row r="292" spans="8:10" x14ac:dyDescent="0.3">
      <c r="H292" t="s">
        <v>76</v>
      </c>
      <c r="I292">
        <v>561</v>
      </c>
      <c r="J292" s="55">
        <v>1086.75</v>
      </c>
    </row>
    <row r="293" spans="8:10" x14ac:dyDescent="0.3">
      <c r="H293" t="s">
        <v>76</v>
      </c>
      <c r="I293">
        <v>562</v>
      </c>
      <c r="J293" s="55">
        <v>1088.27</v>
      </c>
    </row>
    <row r="294" spans="8:10" x14ac:dyDescent="0.3">
      <c r="H294" t="s">
        <v>76</v>
      </c>
      <c r="I294">
        <v>563</v>
      </c>
      <c r="J294" s="55">
        <v>1089.71</v>
      </c>
    </row>
    <row r="295" spans="8:10" x14ac:dyDescent="0.3">
      <c r="H295" t="s">
        <v>76</v>
      </c>
      <c r="I295">
        <v>564</v>
      </c>
      <c r="J295" s="55">
        <v>1091.08</v>
      </c>
    </row>
    <row r="296" spans="8:10" x14ac:dyDescent="0.3">
      <c r="H296" t="s">
        <v>76</v>
      </c>
      <c r="I296">
        <v>565</v>
      </c>
      <c r="J296" s="55">
        <v>1092.3800000000001</v>
      </c>
    </row>
    <row r="297" spans="8:10" x14ac:dyDescent="0.3">
      <c r="H297" t="s">
        <v>76</v>
      </c>
      <c r="I297">
        <v>566</v>
      </c>
      <c r="J297" s="55">
        <v>1093.6199999999999</v>
      </c>
    </row>
    <row r="298" spans="8:10" x14ac:dyDescent="0.3">
      <c r="H298" t="s">
        <v>76</v>
      </c>
      <c r="I298">
        <v>567</v>
      </c>
      <c r="J298" s="55">
        <v>1094.79</v>
      </c>
    </row>
    <row r="299" spans="8:10" x14ac:dyDescent="0.3">
      <c r="H299" t="s">
        <v>76</v>
      </c>
      <c r="I299">
        <v>568</v>
      </c>
      <c r="J299" s="55">
        <v>1095.92</v>
      </c>
    </row>
    <row r="300" spans="8:10" x14ac:dyDescent="0.3">
      <c r="H300" t="s">
        <v>76</v>
      </c>
      <c r="I300">
        <v>569</v>
      </c>
      <c r="J300" s="55">
        <v>1097</v>
      </c>
    </row>
    <row r="301" spans="8:10" x14ac:dyDescent="0.3">
      <c r="H301" t="s">
        <v>78</v>
      </c>
      <c r="I301">
        <v>344</v>
      </c>
      <c r="J301" s="55">
        <v>46.32</v>
      </c>
    </row>
    <row r="302" spans="8:10" x14ac:dyDescent="0.3">
      <c r="H302" t="s">
        <v>78</v>
      </c>
      <c r="I302">
        <v>345</v>
      </c>
      <c r="J302" s="55">
        <v>46.32</v>
      </c>
    </row>
    <row r="303" spans="8:10" x14ac:dyDescent="0.3">
      <c r="H303" t="s">
        <v>78</v>
      </c>
      <c r="I303">
        <v>346</v>
      </c>
      <c r="J303" s="55">
        <v>46.32</v>
      </c>
    </row>
    <row r="304" spans="8:10" x14ac:dyDescent="0.3">
      <c r="H304" t="s">
        <v>78</v>
      </c>
      <c r="I304">
        <v>347</v>
      </c>
      <c r="J304" s="55">
        <v>46.32</v>
      </c>
    </row>
    <row r="305" spans="8:10" x14ac:dyDescent="0.3">
      <c r="H305" t="s">
        <v>78</v>
      </c>
      <c r="I305">
        <v>348</v>
      </c>
      <c r="J305" s="55">
        <v>46.32</v>
      </c>
    </row>
    <row r="306" spans="8:10" x14ac:dyDescent="0.3">
      <c r="H306" t="s">
        <v>78</v>
      </c>
      <c r="I306">
        <v>349</v>
      </c>
      <c r="J306" s="55">
        <v>46.32</v>
      </c>
    </row>
    <row r="307" spans="8:10" x14ac:dyDescent="0.3">
      <c r="H307" t="s">
        <v>78</v>
      </c>
      <c r="I307">
        <v>350</v>
      </c>
      <c r="J307" s="55">
        <v>46.32</v>
      </c>
    </row>
    <row r="308" spans="8:10" x14ac:dyDescent="0.3">
      <c r="H308" t="s">
        <v>78</v>
      </c>
      <c r="I308">
        <v>351</v>
      </c>
      <c r="J308" s="55">
        <v>46.32</v>
      </c>
    </row>
    <row r="309" spans="8:10" x14ac:dyDescent="0.3">
      <c r="H309" t="s">
        <v>78</v>
      </c>
      <c r="I309">
        <v>352</v>
      </c>
      <c r="J309" s="55">
        <v>46.32</v>
      </c>
    </row>
    <row r="310" spans="8:10" x14ac:dyDescent="0.3">
      <c r="H310" t="s">
        <v>78</v>
      </c>
      <c r="I310">
        <v>353</v>
      </c>
      <c r="J310" s="55">
        <v>46.32</v>
      </c>
    </row>
    <row r="311" spans="8:10" x14ac:dyDescent="0.3">
      <c r="H311" t="s">
        <v>78</v>
      </c>
      <c r="I311">
        <v>354</v>
      </c>
      <c r="J311" s="55">
        <v>46.32</v>
      </c>
    </row>
    <row r="312" spans="8:10" x14ac:dyDescent="0.3">
      <c r="H312" t="s">
        <v>78</v>
      </c>
      <c r="I312">
        <v>355</v>
      </c>
      <c r="J312" s="55">
        <v>46.32</v>
      </c>
    </row>
    <row r="313" spans="8:10" x14ac:dyDescent="0.3">
      <c r="H313" t="s">
        <v>78</v>
      </c>
      <c r="I313">
        <v>356</v>
      </c>
      <c r="J313" s="55">
        <v>46.32</v>
      </c>
    </row>
    <row r="314" spans="8:10" x14ac:dyDescent="0.3">
      <c r="H314" t="s">
        <v>78</v>
      </c>
      <c r="I314">
        <v>357</v>
      </c>
      <c r="J314" s="55">
        <v>46.32</v>
      </c>
    </row>
    <row r="315" spans="8:10" x14ac:dyDescent="0.3">
      <c r="H315" t="s">
        <v>78</v>
      </c>
      <c r="I315">
        <v>358</v>
      </c>
      <c r="J315" s="55">
        <v>46.32</v>
      </c>
    </row>
    <row r="316" spans="8:10" x14ac:dyDescent="0.3">
      <c r="H316" t="s">
        <v>78</v>
      </c>
      <c r="I316">
        <v>359</v>
      </c>
      <c r="J316" s="55">
        <v>46.32</v>
      </c>
    </row>
    <row r="317" spans="8:10" x14ac:dyDescent="0.3">
      <c r="H317" t="s">
        <v>78</v>
      </c>
      <c r="I317">
        <v>360</v>
      </c>
      <c r="J317" s="55">
        <v>46.32</v>
      </c>
    </row>
    <row r="318" spans="8:10" x14ac:dyDescent="0.3">
      <c r="H318" t="s">
        <v>78</v>
      </c>
      <c r="I318">
        <v>361</v>
      </c>
      <c r="J318" s="55">
        <v>46.32</v>
      </c>
    </row>
    <row r="319" spans="8:10" x14ac:dyDescent="0.3">
      <c r="H319" t="s">
        <v>78</v>
      </c>
      <c r="I319">
        <v>362</v>
      </c>
      <c r="J319" s="55">
        <v>46.32</v>
      </c>
    </row>
    <row r="320" spans="8:10" x14ac:dyDescent="0.3">
      <c r="H320" t="s">
        <v>78</v>
      </c>
      <c r="I320">
        <v>363</v>
      </c>
      <c r="J320" s="55">
        <v>46.32</v>
      </c>
    </row>
    <row r="321" spans="8:10" x14ac:dyDescent="0.3">
      <c r="H321" t="s">
        <v>78</v>
      </c>
      <c r="I321">
        <v>364</v>
      </c>
      <c r="J321" s="55">
        <v>46.32</v>
      </c>
    </row>
    <row r="322" spans="8:10" x14ac:dyDescent="0.3">
      <c r="H322" t="s">
        <v>78</v>
      </c>
      <c r="I322">
        <v>365</v>
      </c>
      <c r="J322" s="55">
        <v>46.32</v>
      </c>
    </row>
    <row r="323" spans="8:10" x14ac:dyDescent="0.3">
      <c r="H323" t="s">
        <v>78</v>
      </c>
      <c r="I323">
        <v>366</v>
      </c>
      <c r="J323" s="55">
        <v>46.32</v>
      </c>
    </row>
    <row r="324" spans="8:10" x14ac:dyDescent="0.3">
      <c r="H324" t="s">
        <v>78</v>
      </c>
      <c r="I324">
        <v>367</v>
      </c>
      <c r="J324" s="55">
        <v>46.32</v>
      </c>
    </row>
    <row r="325" spans="8:10" x14ac:dyDescent="0.3">
      <c r="H325" t="s">
        <v>78</v>
      </c>
      <c r="I325">
        <v>368</v>
      </c>
      <c r="J325" s="55">
        <v>46.32</v>
      </c>
    </row>
    <row r="326" spans="8:10" x14ac:dyDescent="0.3">
      <c r="H326" t="s">
        <v>78</v>
      </c>
      <c r="I326">
        <v>369</v>
      </c>
      <c r="J326" s="55">
        <v>46.32</v>
      </c>
    </row>
    <row r="327" spans="8:10" x14ac:dyDescent="0.3">
      <c r="H327" t="s">
        <v>78</v>
      </c>
      <c r="I327">
        <v>370</v>
      </c>
      <c r="J327" s="55">
        <v>46.32</v>
      </c>
    </row>
    <row r="328" spans="8:10" x14ac:dyDescent="0.3">
      <c r="H328" t="s">
        <v>78</v>
      </c>
      <c r="I328">
        <v>371</v>
      </c>
      <c r="J328" s="55">
        <v>46.32</v>
      </c>
    </row>
    <row r="329" spans="8:10" x14ac:dyDescent="0.3">
      <c r="H329" t="s">
        <v>78</v>
      </c>
      <c r="I329">
        <v>372</v>
      </c>
      <c r="J329" s="55">
        <v>46.32</v>
      </c>
    </row>
    <row r="330" spans="8:10" x14ac:dyDescent="0.3">
      <c r="H330" t="s">
        <v>78</v>
      </c>
      <c r="I330">
        <v>373</v>
      </c>
      <c r="J330" s="55">
        <v>46.32</v>
      </c>
    </row>
    <row r="331" spans="8:10" x14ac:dyDescent="0.3">
      <c r="H331" t="s">
        <v>78</v>
      </c>
      <c r="I331">
        <v>374</v>
      </c>
      <c r="J331" s="55">
        <v>46.32</v>
      </c>
    </row>
    <row r="332" spans="8:10" x14ac:dyDescent="0.3">
      <c r="H332" t="s">
        <v>78</v>
      </c>
      <c r="I332">
        <v>375</v>
      </c>
      <c r="J332" s="55">
        <v>46.32</v>
      </c>
    </row>
    <row r="333" spans="8:10" x14ac:dyDescent="0.3">
      <c r="H333" t="s">
        <v>78</v>
      </c>
      <c r="I333">
        <v>376</v>
      </c>
      <c r="J333" s="55">
        <v>46.32</v>
      </c>
    </row>
    <row r="334" spans="8:10" x14ac:dyDescent="0.3">
      <c r="H334" t="s">
        <v>78</v>
      </c>
      <c r="I334">
        <v>377</v>
      </c>
      <c r="J334" s="55">
        <v>46.32</v>
      </c>
    </row>
    <row r="335" spans="8:10" x14ac:dyDescent="0.3">
      <c r="H335" t="s">
        <v>78</v>
      </c>
      <c r="I335">
        <v>378</v>
      </c>
      <c r="J335" s="55">
        <v>46.32</v>
      </c>
    </row>
    <row r="336" spans="8:10" x14ac:dyDescent="0.3">
      <c r="H336" t="s">
        <v>78</v>
      </c>
      <c r="I336">
        <v>379</v>
      </c>
      <c r="J336" s="55">
        <v>46.32</v>
      </c>
    </row>
    <row r="337" spans="8:10" x14ac:dyDescent="0.3">
      <c r="H337" t="s">
        <v>78</v>
      </c>
      <c r="I337">
        <v>380</v>
      </c>
      <c r="J337" s="55">
        <v>46.38</v>
      </c>
    </row>
    <row r="338" spans="8:10" x14ac:dyDescent="0.3">
      <c r="H338" t="s">
        <v>78</v>
      </c>
      <c r="I338">
        <v>381</v>
      </c>
      <c r="J338" s="55">
        <v>46.43</v>
      </c>
    </row>
    <row r="339" spans="8:10" x14ac:dyDescent="0.3">
      <c r="H339" t="s">
        <v>78</v>
      </c>
      <c r="I339">
        <v>382</v>
      </c>
      <c r="J339" s="55">
        <v>46.5</v>
      </c>
    </row>
    <row r="340" spans="8:10" x14ac:dyDescent="0.3">
      <c r="H340" t="s">
        <v>78</v>
      </c>
      <c r="I340">
        <v>383</v>
      </c>
      <c r="J340" s="55">
        <v>46.57</v>
      </c>
    </row>
    <row r="341" spans="8:10" x14ac:dyDescent="0.3">
      <c r="H341" t="s">
        <v>78</v>
      </c>
      <c r="I341">
        <v>384</v>
      </c>
      <c r="J341" s="55">
        <v>46.63</v>
      </c>
    </row>
    <row r="342" spans="8:10" x14ac:dyDescent="0.3">
      <c r="H342" t="s">
        <v>78</v>
      </c>
      <c r="I342">
        <v>385</v>
      </c>
      <c r="J342" s="55">
        <v>46.68</v>
      </c>
    </row>
    <row r="343" spans="8:10" x14ac:dyDescent="0.3">
      <c r="H343" t="s">
        <v>78</v>
      </c>
      <c r="I343">
        <v>386</v>
      </c>
      <c r="J343" s="55">
        <v>46.74</v>
      </c>
    </row>
    <row r="344" spans="8:10" x14ac:dyDescent="0.3">
      <c r="H344" t="s">
        <v>78</v>
      </c>
      <c r="I344">
        <v>387</v>
      </c>
      <c r="J344" s="55">
        <v>46.81</v>
      </c>
    </row>
    <row r="345" spans="8:10" x14ac:dyDescent="0.3">
      <c r="H345" t="s">
        <v>78</v>
      </c>
      <c r="I345">
        <v>388</v>
      </c>
      <c r="J345" s="55">
        <v>46.88</v>
      </c>
    </row>
    <row r="346" spans="8:10" x14ac:dyDescent="0.3">
      <c r="H346" t="s">
        <v>78</v>
      </c>
      <c r="I346">
        <v>389</v>
      </c>
      <c r="J346" s="55">
        <v>46.95</v>
      </c>
    </row>
    <row r="347" spans="8:10" x14ac:dyDescent="0.3">
      <c r="H347" t="s">
        <v>78</v>
      </c>
      <c r="I347">
        <v>390</v>
      </c>
      <c r="J347" s="55">
        <v>47.01</v>
      </c>
    </row>
    <row r="348" spans="8:10" x14ac:dyDescent="0.3">
      <c r="H348" t="s">
        <v>78</v>
      </c>
      <c r="I348">
        <v>391</v>
      </c>
      <c r="J348" s="55">
        <v>47.08</v>
      </c>
    </row>
    <row r="349" spans="8:10" x14ac:dyDescent="0.3">
      <c r="H349" t="s">
        <v>78</v>
      </c>
      <c r="I349">
        <v>392</v>
      </c>
      <c r="J349" s="55">
        <v>47.15</v>
      </c>
    </row>
    <row r="350" spans="8:10" x14ac:dyDescent="0.3">
      <c r="H350" t="s">
        <v>78</v>
      </c>
      <c r="I350">
        <v>393</v>
      </c>
      <c r="J350" s="55">
        <v>47.22</v>
      </c>
    </row>
    <row r="351" spans="8:10" x14ac:dyDescent="0.3">
      <c r="H351" t="s">
        <v>78</v>
      </c>
      <c r="I351">
        <v>394</v>
      </c>
      <c r="J351" s="55">
        <v>47.29</v>
      </c>
    </row>
    <row r="352" spans="8:10" x14ac:dyDescent="0.3">
      <c r="H352" t="s">
        <v>78</v>
      </c>
      <c r="I352">
        <v>395</v>
      </c>
      <c r="J352" s="55">
        <v>47.37</v>
      </c>
    </row>
    <row r="353" spans="8:10" x14ac:dyDescent="0.3">
      <c r="H353" t="s">
        <v>78</v>
      </c>
      <c r="I353">
        <v>396</v>
      </c>
      <c r="J353" s="55">
        <v>47.43</v>
      </c>
    </row>
    <row r="354" spans="8:10" x14ac:dyDescent="0.3">
      <c r="H354" t="s">
        <v>78</v>
      </c>
      <c r="I354">
        <v>397</v>
      </c>
      <c r="J354" s="55">
        <v>47.51</v>
      </c>
    </row>
    <row r="355" spans="8:10" x14ac:dyDescent="0.3">
      <c r="H355" t="s">
        <v>78</v>
      </c>
      <c r="I355">
        <v>398</v>
      </c>
      <c r="J355" s="55">
        <v>47.59</v>
      </c>
    </row>
    <row r="356" spans="8:10" x14ac:dyDescent="0.3">
      <c r="H356" t="s">
        <v>78</v>
      </c>
      <c r="I356">
        <v>399</v>
      </c>
      <c r="J356" s="55">
        <v>47.66</v>
      </c>
    </row>
    <row r="357" spans="8:10" x14ac:dyDescent="0.3">
      <c r="H357" t="s">
        <v>78</v>
      </c>
      <c r="I357">
        <v>400</v>
      </c>
      <c r="J357" s="55">
        <v>47.75</v>
      </c>
    </row>
    <row r="358" spans="8:10" x14ac:dyDescent="0.3">
      <c r="H358" t="s">
        <v>78</v>
      </c>
      <c r="I358">
        <v>401</v>
      </c>
      <c r="J358" s="55">
        <v>47.83</v>
      </c>
    </row>
    <row r="359" spans="8:10" x14ac:dyDescent="0.3">
      <c r="H359" t="s">
        <v>78</v>
      </c>
      <c r="I359">
        <v>402</v>
      </c>
      <c r="J359" s="55">
        <v>47.92</v>
      </c>
    </row>
    <row r="360" spans="8:10" x14ac:dyDescent="0.3">
      <c r="H360" t="s">
        <v>78</v>
      </c>
      <c r="I360">
        <v>403</v>
      </c>
      <c r="J360" s="55">
        <v>48.01</v>
      </c>
    </row>
    <row r="361" spans="8:10" x14ac:dyDescent="0.3">
      <c r="H361" t="s">
        <v>78</v>
      </c>
      <c r="I361">
        <v>404</v>
      </c>
      <c r="J361" s="55">
        <v>48.09</v>
      </c>
    </row>
    <row r="362" spans="8:10" x14ac:dyDescent="0.3">
      <c r="H362" t="s">
        <v>78</v>
      </c>
      <c r="I362">
        <v>405</v>
      </c>
      <c r="J362" s="55">
        <v>48.18</v>
      </c>
    </row>
    <row r="363" spans="8:10" x14ac:dyDescent="0.3">
      <c r="H363" t="s">
        <v>78</v>
      </c>
      <c r="I363">
        <v>406</v>
      </c>
      <c r="J363" s="55">
        <v>48.29</v>
      </c>
    </row>
    <row r="364" spans="8:10" x14ac:dyDescent="0.3">
      <c r="H364" t="s">
        <v>78</v>
      </c>
      <c r="I364">
        <v>407</v>
      </c>
      <c r="J364" s="55">
        <v>48.38</v>
      </c>
    </row>
    <row r="365" spans="8:10" x14ac:dyDescent="0.3">
      <c r="H365" t="s">
        <v>78</v>
      </c>
      <c r="I365">
        <v>408</v>
      </c>
      <c r="J365" s="55">
        <v>48.47</v>
      </c>
    </row>
    <row r="366" spans="8:10" x14ac:dyDescent="0.3">
      <c r="H366" t="s">
        <v>78</v>
      </c>
      <c r="I366">
        <v>409</v>
      </c>
      <c r="J366" s="55">
        <v>48.57</v>
      </c>
    </row>
    <row r="367" spans="8:10" x14ac:dyDescent="0.3">
      <c r="H367" t="s">
        <v>78</v>
      </c>
      <c r="I367">
        <v>410</v>
      </c>
      <c r="J367" s="55">
        <v>48.69</v>
      </c>
    </row>
    <row r="368" spans="8:10" x14ac:dyDescent="0.3">
      <c r="H368" t="s">
        <v>78</v>
      </c>
      <c r="I368">
        <v>411</v>
      </c>
      <c r="J368" s="55">
        <v>48.79</v>
      </c>
    </row>
    <row r="369" spans="8:10" x14ac:dyDescent="0.3">
      <c r="H369" t="s">
        <v>78</v>
      </c>
      <c r="I369">
        <v>412</v>
      </c>
      <c r="J369" s="55">
        <v>48.9</v>
      </c>
    </row>
    <row r="370" spans="8:10" x14ac:dyDescent="0.3">
      <c r="H370" t="s">
        <v>78</v>
      </c>
      <c r="I370">
        <v>413</v>
      </c>
      <c r="J370" s="55">
        <v>49.02</v>
      </c>
    </row>
    <row r="371" spans="8:10" x14ac:dyDescent="0.3">
      <c r="H371" t="s">
        <v>78</v>
      </c>
      <c r="I371">
        <v>414</v>
      </c>
      <c r="J371" s="55">
        <v>49.13</v>
      </c>
    </row>
    <row r="372" spans="8:10" x14ac:dyDescent="0.3">
      <c r="H372" t="s">
        <v>78</v>
      </c>
      <c r="I372">
        <v>415</v>
      </c>
      <c r="J372" s="55">
        <v>49.26</v>
      </c>
    </row>
    <row r="373" spans="8:10" x14ac:dyDescent="0.3">
      <c r="H373" t="s">
        <v>78</v>
      </c>
      <c r="I373">
        <v>416</v>
      </c>
      <c r="J373" s="55">
        <v>49.39</v>
      </c>
    </row>
    <row r="374" spans="8:10" x14ac:dyDescent="0.3">
      <c r="H374" t="s">
        <v>78</v>
      </c>
      <c r="I374">
        <v>417</v>
      </c>
      <c r="J374" s="55">
        <v>49.52</v>
      </c>
    </row>
    <row r="375" spans="8:10" x14ac:dyDescent="0.3">
      <c r="H375" t="s">
        <v>78</v>
      </c>
      <c r="I375">
        <v>418</v>
      </c>
      <c r="J375" s="55">
        <v>49.66</v>
      </c>
    </row>
    <row r="376" spans="8:10" x14ac:dyDescent="0.3">
      <c r="H376" t="s">
        <v>78</v>
      </c>
      <c r="I376">
        <v>419</v>
      </c>
      <c r="J376" s="55">
        <v>49.79</v>
      </c>
    </row>
    <row r="377" spans="8:10" x14ac:dyDescent="0.3">
      <c r="H377" t="s">
        <v>78</v>
      </c>
      <c r="I377">
        <v>420</v>
      </c>
      <c r="J377" s="55">
        <v>49.93</v>
      </c>
    </row>
    <row r="378" spans="8:10" x14ac:dyDescent="0.3">
      <c r="H378" t="s">
        <v>78</v>
      </c>
      <c r="I378">
        <v>421</v>
      </c>
      <c r="J378" s="55">
        <v>50.08</v>
      </c>
    </row>
    <row r="379" spans="8:10" x14ac:dyDescent="0.3">
      <c r="H379" t="s">
        <v>78</v>
      </c>
      <c r="I379">
        <v>422</v>
      </c>
      <c r="J379" s="55">
        <v>50.24</v>
      </c>
    </row>
    <row r="380" spans="8:10" x14ac:dyDescent="0.3">
      <c r="H380" t="s">
        <v>78</v>
      </c>
      <c r="I380">
        <v>423</v>
      </c>
      <c r="J380" s="55">
        <v>50.39</v>
      </c>
    </row>
    <row r="381" spans="8:10" x14ac:dyDescent="0.3">
      <c r="H381" t="s">
        <v>78</v>
      </c>
      <c r="I381">
        <v>424</v>
      </c>
      <c r="J381" s="55">
        <v>50.56</v>
      </c>
    </row>
    <row r="382" spans="8:10" x14ac:dyDescent="0.3">
      <c r="H382" t="s">
        <v>78</v>
      </c>
      <c r="I382">
        <v>425</v>
      </c>
      <c r="J382" s="55">
        <v>50.74</v>
      </c>
    </row>
    <row r="383" spans="8:10" x14ac:dyDescent="0.3">
      <c r="H383" t="s">
        <v>78</v>
      </c>
      <c r="I383">
        <v>426</v>
      </c>
      <c r="J383" s="55">
        <v>50.9</v>
      </c>
    </row>
    <row r="384" spans="8:10" x14ac:dyDescent="0.3">
      <c r="H384" t="s">
        <v>78</v>
      </c>
      <c r="I384">
        <v>427</v>
      </c>
      <c r="J384" s="55">
        <v>51.09</v>
      </c>
    </row>
    <row r="385" spans="8:10" x14ac:dyDescent="0.3">
      <c r="H385" t="s">
        <v>78</v>
      </c>
      <c r="I385">
        <v>428</v>
      </c>
      <c r="J385" s="55">
        <v>51.26</v>
      </c>
    </row>
    <row r="386" spans="8:10" x14ac:dyDescent="0.3">
      <c r="H386" t="s">
        <v>78</v>
      </c>
      <c r="I386">
        <v>429</v>
      </c>
      <c r="J386" s="55">
        <v>51.46</v>
      </c>
    </row>
    <row r="387" spans="8:10" x14ac:dyDescent="0.3">
      <c r="H387" t="s">
        <v>78</v>
      </c>
      <c r="I387">
        <v>430</v>
      </c>
      <c r="J387" s="55">
        <v>51.66</v>
      </c>
    </row>
    <row r="388" spans="8:10" x14ac:dyDescent="0.3">
      <c r="H388" t="s">
        <v>78</v>
      </c>
      <c r="I388">
        <v>431</v>
      </c>
      <c r="J388" s="55">
        <v>51.86</v>
      </c>
    </row>
    <row r="389" spans="8:10" x14ac:dyDescent="0.3">
      <c r="H389" t="s">
        <v>78</v>
      </c>
      <c r="I389">
        <v>432</v>
      </c>
      <c r="J389" s="55">
        <v>52.08</v>
      </c>
    </row>
    <row r="390" spans="8:10" x14ac:dyDescent="0.3">
      <c r="H390" t="s">
        <v>78</v>
      </c>
      <c r="I390">
        <v>433</v>
      </c>
      <c r="J390" s="55">
        <v>52.29</v>
      </c>
    </row>
    <row r="391" spans="8:10" x14ac:dyDescent="0.3">
      <c r="H391" t="s">
        <v>78</v>
      </c>
      <c r="I391">
        <v>434</v>
      </c>
      <c r="J391" s="55">
        <v>52.51</v>
      </c>
    </row>
    <row r="392" spans="8:10" x14ac:dyDescent="0.3">
      <c r="H392" t="s">
        <v>78</v>
      </c>
      <c r="I392">
        <v>435</v>
      </c>
      <c r="J392" s="55">
        <v>52.75</v>
      </c>
    </row>
    <row r="393" spans="8:10" x14ac:dyDescent="0.3">
      <c r="H393" t="s">
        <v>78</v>
      </c>
      <c r="I393">
        <v>436</v>
      </c>
      <c r="J393" s="55">
        <v>52.99</v>
      </c>
    </row>
    <row r="394" spans="8:10" x14ac:dyDescent="0.3">
      <c r="H394" t="s">
        <v>78</v>
      </c>
      <c r="I394">
        <v>437</v>
      </c>
      <c r="J394" s="55">
        <v>53.24</v>
      </c>
    </row>
    <row r="395" spans="8:10" x14ac:dyDescent="0.3">
      <c r="H395" t="s">
        <v>78</v>
      </c>
      <c r="I395">
        <v>438</v>
      </c>
      <c r="J395" s="55">
        <v>53.5</v>
      </c>
    </row>
    <row r="396" spans="8:10" x14ac:dyDescent="0.3">
      <c r="H396" t="s">
        <v>78</v>
      </c>
      <c r="I396">
        <v>439</v>
      </c>
      <c r="J396" s="55">
        <v>53.75</v>
      </c>
    </row>
    <row r="397" spans="8:10" x14ac:dyDescent="0.3">
      <c r="H397" t="s">
        <v>78</v>
      </c>
      <c r="I397">
        <v>440</v>
      </c>
      <c r="J397" s="55">
        <v>54.02</v>
      </c>
    </row>
    <row r="398" spans="8:10" x14ac:dyDescent="0.3">
      <c r="H398" t="s">
        <v>78</v>
      </c>
      <c r="I398">
        <v>441</v>
      </c>
      <c r="J398" s="55">
        <v>54.3</v>
      </c>
    </row>
    <row r="399" spans="8:10" x14ac:dyDescent="0.3">
      <c r="H399" t="s">
        <v>78</v>
      </c>
      <c r="I399">
        <v>442</v>
      </c>
      <c r="J399" s="55">
        <v>54.59</v>
      </c>
    </row>
    <row r="400" spans="8:10" x14ac:dyDescent="0.3">
      <c r="H400" t="s">
        <v>78</v>
      </c>
      <c r="I400">
        <v>443</v>
      </c>
      <c r="J400" s="55">
        <v>54.89</v>
      </c>
    </row>
    <row r="401" spans="8:10" x14ac:dyDescent="0.3">
      <c r="H401" t="s">
        <v>78</v>
      </c>
      <c r="I401">
        <v>444</v>
      </c>
      <c r="J401" s="55">
        <v>55.2</v>
      </c>
    </row>
    <row r="402" spans="8:10" x14ac:dyDescent="0.3">
      <c r="H402" t="s">
        <v>78</v>
      </c>
      <c r="I402">
        <v>445</v>
      </c>
      <c r="J402" s="55">
        <v>55.51</v>
      </c>
    </row>
    <row r="403" spans="8:10" x14ac:dyDescent="0.3">
      <c r="H403" t="s">
        <v>78</v>
      </c>
      <c r="I403">
        <v>446</v>
      </c>
      <c r="J403" s="55">
        <v>55.84</v>
      </c>
    </row>
    <row r="404" spans="8:10" x14ac:dyDescent="0.3">
      <c r="H404" t="s">
        <v>78</v>
      </c>
      <c r="I404">
        <v>447</v>
      </c>
      <c r="J404" s="55">
        <v>56.17</v>
      </c>
    </row>
    <row r="405" spans="8:10" x14ac:dyDescent="0.3">
      <c r="H405" t="s">
        <v>78</v>
      </c>
      <c r="I405">
        <v>448</v>
      </c>
      <c r="J405" s="55">
        <v>56.52</v>
      </c>
    </row>
    <row r="406" spans="8:10" x14ac:dyDescent="0.3">
      <c r="H406" t="s">
        <v>78</v>
      </c>
      <c r="I406">
        <v>449</v>
      </c>
      <c r="J406" s="55">
        <v>56.88</v>
      </c>
    </row>
    <row r="407" spans="8:10" x14ac:dyDescent="0.3">
      <c r="H407" t="s">
        <v>78</v>
      </c>
      <c r="I407">
        <v>450</v>
      </c>
      <c r="J407" s="55">
        <v>57.24</v>
      </c>
    </row>
    <row r="408" spans="8:10" x14ac:dyDescent="0.3">
      <c r="H408" t="s">
        <v>78</v>
      </c>
      <c r="I408">
        <v>451</v>
      </c>
      <c r="J408" s="55">
        <v>57.61</v>
      </c>
    </row>
    <row r="409" spans="8:10" x14ac:dyDescent="0.3">
      <c r="H409" t="s">
        <v>78</v>
      </c>
      <c r="I409">
        <v>452</v>
      </c>
      <c r="J409" s="55">
        <v>57.99</v>
      </c>
    </row>
    <row r="410" spans="8:10" x14ac:dyDescent="0.3">
      <c r="H410" t="s">
        <v>78</v>
      </c>
      <c r="I410">
        <v>453</v>
      </c>
      <c r="J410" s="55">
        <v>58.39</v>
      </c>
    </row>
    <row r="411" spans="8:10" x14ac:dyDescent="0.3">
      <c r="H411" t="s">
        <v>78</v>
      </c>
      <c r="I411">
        <v>454</v>
      </c>
      <c r="J411" s="55">
        <v>58.79</v>
      </c>
    </row>
    <row r="412" spans="8:10" x14ac:dyDescent="0.3">
      <c r="H412" t="s">
        <v>78</v>
      </c>
      <c r="I412">
        <v>455</v>
      </c>
      <c r="J412" s="55">
        <v>59.2</v>
      </c>
    </row>
    <row r="413" spans="8:10" x14ac:dyDescent="0.3">
      <c r="H413" t="s">
        <v>78</v>
      </c>
      <c r="I413">
        <v>456</v>
      </c>
      <c r="J413" s="55">
        <v>59.64</v>
      </c>
    </row>
    <row r="414" spans="8:10" x14ac:dyDescent="0.3">
      <c r="H414" t="s">
        <v>78</v>
      </c>
      <c r="I414">
        <v>457</v>
      </c>
      <c r="J414" s="55">
        <v>60.07</v>
      </c>
    </row>
    <row r="415" spans="8:10" x14ac:dyDescent="0.3">
      <c r="H415" t="s">
        <v>78</v>
      </c>
      <c r="I415">
        <v>458</v>
      </c>
      <c r="J415" s="55">
        <v>60.52</v>
      </c>
    </row>
    <row r="416" spans="8:10" x14ac:dyDescent="0.3">
      <c r="H416" t="s">
        <v>78</v>
      </c>
      <c r="I416">
        <v>459</v>
      </c>
      <c r="J416" s="55">
        <v>60.98</v>
      </c>
    </row>
    <row r="417" spans="8:10" x14ac:dyDescent="0.3">
      <c r="H417" t="s">
        <v>78</v>
      </c>
      <c r="I417">
        <v>460</v>
      </c>
      <c r="J417" s="55">
        <v>61.45</v>
      </c>
    </row>
    <row r="418" spans="8:10" x14ac:dyDescent="0.3">
      <c r="H418" t="s">
        <v>78</v>
      </c>
      <c r="I418">
        <v>461</v>
      </c>
      <c r="J418" s="55">
        <v>61.92</v>
      </c>
    </row>
    <row r="419" spans="8:10" x14ac:dyDescent="0.3">
      <c r="H419" t="s">
        <v>78</v>
      </c>
      <c r="I419">
        <v>462</v>
      </c>
      <c r="J419" s="55">
        <v>62.42</v>
      </c>
    </row>
    <row r="420" spans="8:10" x14ac:dyDescent="0.3">
      <c r="H420" t="s">
        <v>78</v>
      </c>
      <c r="I420">
        <v>463</v>
      </c>
      <c r="J420" s="55">
        <v>62.92</v>
      </c>
    </row>
    <row r="421" spans="8:10" x14ac:dyDescent="0.3">
      <c r="H421" t="s">
        <v>78</v>
      </c>
      <c r="I421">
        <v>464</v>
      </c>
      <c r="J421" s="55">
        <v>63.43</v>
      </c>
    </row>
    <row r="422" spans="8:10" x14ac:dyDescent="0.3">
      <c r="H422" t="s">
        <v>78</v>
      </c>
      <c r="I422">
        <v>465</v>
      </c>
      <c r="J422" s="55">
        <v>63.95</v>
      </c>
    </row>
    <row r="423" spans="8:10" x14ac:dyDescent="0.3">
      <c r="H423" t="s">
        <v>78</v>
      </c>
      <c r="I423">
        <v>466</v>
      </c>
      <c r="J423" s="55">
        <v>64.489999999999995</v>
      </c>
    </row>
    <row r="424" spans="8:10" x14ac:dyDescent="0.3">
      <c r="H424" t="s">
        <v>78</v>
      </c>
      <c r="I424">
        <v>467</v>
      </c>
      <c r="J424" s="55">
        <v>65.03</v>
      </c>
    </row>
    <row r="425" spans="8:10" x14ac:dyDescent="0.3">
      <c r="H425" t="s">
        <v>78</v>
      </c>
      <c r="I425">
        <v>468</v>
      </c>
      <c r="J425" s="55">
        <v>65.58</v>
      </c>
    </row>
    <row r="426" spans="8:10" x14ac:dyDescent="0.3">
      <c r="H426" t="s">
        <v>78</v>
      </c>
      <c r="I426">
        <v>469</v>
      </c>
      <c r="J426" s="55">
        <v>66.14</v>
      </c>
    </row>
    <row r="427" spans="8:10" x14ac:dyDescent="0.3">
      <c r="H427" t="s">
        <v>78</v>
      </c>
      <c r="I427">
        <v>470</v>
      </c>
      <c r="J427" s="55">
        <v>66.709999999999994</v>
      </c>
    </row>
    <row r="428" spans="8:10" x14ac:dyDescent="0.3">
      <c r="H428" t="s">
        <v>78</v>
      </c>
      <c r="I428">
        <v>471</v>
      </c>
      <c r="J428" s="55">
        <v>67.3</v>
      </c>
    </row>
    <row r="429" spans="8:10" x14ac:dyDescent="0.3">
      <c r="H429" t="s">
        <v>78</v>
      </c>
      <c r="I429">
        <v>472</v>
      </c>
      <c r="J429" s="55">
        <v>67.89</v>
      </c>
    </row>
    <row r="430" spans="8:10" x14ac:dyDescent="0.3">
      <c r="H430" t="s">
        <v>78</v>
      </c>
      <c r="I430">
        <v>473</v>
      </c>
      <c r="J430" s="55">
        <v>68.5</v>
      </c>
    </row>
    <row r="431" spans="8:10" x14ac:dyDescent="0.3">
      <c r="H431" t="s">
        <v>78</v>
      </c>
      <c r="I431">
        <v>474</v>
      </c>
      <c r="J431" s="55">
        <v>69.099999999999994</v>
      </c>
    </row>
    <row r="432" spans="8:10" x14ac:dyDescent="0.3">
      <c r="H432" t="s">
        <v>78</v>
      </c>
      <c r="I432">
        <v>475</v>
      </c>
      <c r="J432" s="55">
        <v>69.72</v>
      </c>
    </row>
    <row r="433" spans="8:10" x14ac:dyDescent="0.3">
      <c r="H433" t="s">
        <v>78</v>
      </c>
      <c r="I433">
        <v>476</v>
      </c>
      <c r="J433" s="55">
        <v>70.349999999999994</v>
      </c>
    </row>
    <row r="434" spans="8:10" x14ac:dyDescent="0.3">
      <c r="H434" t="s">
        <v>78</v>
      </c>
      <c r="I434">
        <v>477</v>
      </c>
      <c r="J434" s="55">
        <v>70.98</v>
      </c>
    </row>
    <row r="435" spans="8:10" x14ac:dyDescent="0.3">
      <c r="H435" t="s">
        <v>78</v>
      </c>
      <c r="I435">
        <v>478</v>
      </c>
      <c r="J435" s="55">
        <v>71.63</v>
      </c>
    </row>
    <row r="436" spans="8:10" x14ac:dyDescent="0.3">
      <c r="H436" t="s">
        <v>78</v>
      </c>
      <c r="I436">
        <v>479</v>
      </c>
      <c r="J436" s="55">
        <v>72.260000000000005</v>
      </c>
    </row>
    <row r="437" spans="8:10" x14ac:dyDescent="0.3">
      <c r="H437" t="s">
        <v>78</v>
      </c>
      <c r="I437">
        <v>480</v>
      </c>
      <c r="J437" s="55">
        <v>72.92</v>
      </c>
    </row>
    <row r="438" spans="8:10" x14ac:dyDescent="0.3">
      <c r="H438" t="s">
        <v>78</v>
      </c>
      <c r="I438">
        <v>481</v>
      </c>
      <c r="J438" s="55">
        <v>73.59</v>
      </c>
    </row>
    <row r="439" spans="8:10" x14ac:dyDescent="0.3">
      <c r="H439" t="s">
        <v>78</v>
      </c>
      <c r="I439">
        <v>482</v>
      </c>
      <c r="J439" s="55">
        <v>74.25</v>
      </c>
    </row>
    <row r="440" spans="8:10" x14ac:dyDescent="0.3">
      <c r="H440" t="s">
        <v>78</v>
      </c>
      <c r="I440">
        <v>483</v>
      </c>
      <c r="J440" s="55">
        <v>74.92</v>
      </c>
    </row>
    <row r="441" spans="8:10" x14ac:dyDescent="0.3">
      <c r="H441" t="s">
        <v>78</v>
      </c>
      <c r="I441">
        <v>484</v>
      </c>
      <c r="J441" s="55">
        <v>75.599999999999994</v>
      </c>
    </row>
    <row r="442" spans="8:10" x14ac:dyDescent="0.3">
      <c r="H442" t="s">
        <v>78</v>
      </c>
      <c r="I442">
        <v>485</v>
      </c>
      <c r="J442" s="55">
        <v>76.27</v>
      </c>
    </row>
    <row r="443" spans="8:10" x14ac:dyDescent="0.3">
      <c r="H443" t="s">
        <v>78</v>
      </c>
      <c r="I443">
        <v>486</v>
      </c>
      <c r="J443" s="55">
        <v>76.97</v>
      </c>
    </row>
    <row r="444" spans="8:10" x14ac:dyDescent="0.3">
      <c r="H444" t="s">
        <v>78</v>
      </c>
      <c r="I444">
        <v>487</v>
      </c>
      <c r="J444" s="55">
        <v>77.650000000000006</v>
      </c>
    </row>
    <row r="445" spans="8:10" x14ac:dyDescent="0.3">
      <c r="H445" t="s">
        <v>78</v>
      </c>
      <c r="I445">
        <v>488</v>
      </c>
      <c r="J445" s="55">
        <v>78.33</v>
      </c>
    </row>
    <row r="446" spans="8:10" x14ac:dyDescent="0.3">
      <c r="H446" t="s">
        <v>78</v>
      </c>
      <c r="I446">
        <v>489</v>
      </c>
      <c r="J446" s="55">
        <v>79.02</v>
      </c>
    </row>
    <row r="447" spans="8:10" x14ac:dyDescent="0.3">
      <c r="H447" t="s">
        <v>78</v>
      </c>
      <c r="I447">
        <v>490</v>
      </c>
      <c r="J447" s="55">
        <v>79.72</v>
      </c>
    </row>
    <row r="448" spans="8:10" x14ac:dyDescent="0.3">
      <c r="H448" t="s">
        <v>78</v>
      </c>
      <c r="I448">
        <v>491</v>
      </c>
      <c r="J448" s="55">
        <v>80.400000000000006</v>
      </c>
    </row>
    <row r="449" spans="8:10" x14ac:dyDescent="0.3">
      <c r="H449" t="s">
        <v>78</v>
      </c>
      <c r="I449">
        <v>492</v>
      </c>
      <c r="J449" s="55">
        <v>81.09</v>
      </c>
    </row>
    <row r="450" spans="8:10" x14ac:dyDescent="0.3">
      <c r="H450" t="s">
        <v>78</v>
      </c>
      <c r="I450">
        <v>493</v>
      </c>
      <c r="J450" s="55">
        <v>81.790000000000006</v>
      </c>
    </row>
    <row r="451" spans="8:10" x14ac:dyDescent="0.3">
      <c r="H451" t="s">
        <v>78</v>
      </c>
      <c r="I451">
        <v>494</v>
      </c>
      <c r="J451" s="55">
        <v>82.47</v>
      </c>
    </row>
    <row r="452" spans="8:10" x14ac:dyDescent="0.3">
      <c r="H452" t="s">
        <v>78</v>
      </c>
      <c r="I452">
        <v>495</v>
      </c>
      <c r="J452" s="55">
        <v>83.16</v>
      </c>
    </row>
    <row r="453" spans="8:10" x14ac:dyDescent="0.3">
      <c r="H453" t="s">
        <v>78</v>
      </c>
      <c r="I453">
        <v>496</v>
      </c>
      <c r="J453" s="55">
        <v>83.84</v>
      </c>
    </row>
    <row r="454" spans="8:10" x14ac:dyDescent="0.3">
      <c r="H454" t="s">
        <v>78</v>
      </c>
      <c r="I454">
        <v>497</v>
      </c>
      <c r="J454" s="55">
        <v>84.51</v>
      </c>
    </row>
    <row r="455" spans="8:10" x14ac:dyDescent="0.3">
      <c r="H455" t="s">
        <v>78</v>
      </c>
      <c r="I455">
        <v>498</v>
      </c>
      <c r="J455" s="55">
        <v>85.2</v>
      </c>
    </row>
    <row r="456" spans="8:10" x14ac:dyDescent="0.3">
      <c r="H456" t="s">
        <v>78</v>
      </c>
      <c r="I456">
        <v>499</v>
      </c>
      <c r="J456" s="55">
        <v>85.87</v>
      </c>
    </row>
    <row r="457" spans="8:10" x14ac:dyDescent="0.3">
      <c r="H457" t="s">
        <v>78</v>
      </c>
      <c r="I457">
        <v>500</v>
      </c>
      <c r="J457" s="55">
        <v>86.53</v>
      </c>
    </row>
    <row r="458" spans="8:10" x14ac:dyDescent="0.3">
      <c r="H458" t="s">
        <v>78</v>
      </c>
      <c r="I458">
        <v>501</v>
      </c>
      <c r="J458" s="55">
        <v>87.19</v>
      </c>
    </row>
    <row r="459" spans="8:10" x14ac:dyDescent="0.3">
      <c r="H459" t="s">
        <v>78</v>
      </c>
      <c r="I459">
        <v>502</v>
      </c>
      <c r="J459" s="55">
        <v>87.84</v>
      </c>
    </row>
    <row r="460" spans="8:10" x14ac:dyDescent="0.3">
      <c r="H460" t="s">
        <v>78</v>
      </c>
      <c r="I460">
        <v>503</v>
      </c>
      <c r="J460" s="55">
        <v>88.5</v>
      </c>
    </row>
    <row r="461" spans="8:10" x14ac:dyDescent="0.3">
      <c r="H461" t="s">
        <v>78</v>
      </c>
      <c r="I461">
        <v>504</v>
      </c>
      <c r="J461" s="55">
        <v>89.14</v>
      </c>
    </row>
    <row r="462" spans="8:10" x14ac:dyDescent="0.3">
      <c r="H462" t="s">
        <v>78</v>
      </c>
      <c r="I462">
        <v>505</v>
      </c>
      <c r="J462" s="55">
        <v>89.76</v>
      </c>
    </row>
    <row r="463" spans="8:10" x14ac:dyDescent="0.3">
      <c r="H463" t="s">
        <v>78</v>
      </c>
      <c r="I463">
        <v>506</v>
      </c>
      <c r="J463" s="55">
        <v>90.38</v>
      </c>
    </row>
    <row r="464" spans="8:10" x14ac:dyDescent="0.3">
      <c r="H464" t="s">
        <v>78</v>
      </c>
      <c r="I464">
        <v>507</v>
      </c>
      <c r="J464" s="55">
        <v>91</v>
      </c>
    </row>
    <row r="465" spans="8:10" x14ac:dyDescent="0.3">
      <c r="H465" t="s">
        <v>78</v>
      </c>
      <c r="I465">
        <v>508</v>
      </c>
      <c r="J465" s="55">
        <v>91.61</v>
      </c>
    </row>
    <row r="466" spans="8:10" x14ac:dyDescent="0.3">
      <c r="H466" t="s">
        <v>78</v>
      </c>
      <c r="I466">
        <v>509</v>
      </c>
      <c r="J466" s="55">
        <v>92.21</v>
      </c>
    </row>
    <row r="467" spans="8:10" x14ac:dyDescent="0.3">
      <c r="H467" t="s">
        <v>78</v>
      </c>
      <c r="I467">
        <v>510</v>
      </c>
      <c r="J467" s="55">
        <v>92.78</v>
      </c>
    </row>
    <row r="468" spans="8:10" x14ac:dyDescent="0.3">
      <c r="H468" t="s">
        <v>78</v>
      </c>
      <c r="I468">
        <v>511</v>
      </c>
      <c r="J468" s="55">
        <v>93.35</v>
      </c>
    </row>
    <row r="469" spans="8:10" x14ac:dyDescent="0.3">
      <c r="H469" t="s">
        <v>78</v>
      </c>
      <c r="I469">
        <v>512</v>
      </c>
      <c r="J469" s="55">
        <v>93.92</v>
      </c>
    </row>
    <row r="470" spans="8:10" x14ac:dyDescent="0.3">
      <c r="H470" t="s">
        <v>78</v>
      </c>
      <c r="I470">
        <v>513</v>
      </c>
      <c r="J470" s="55">
        <v>94.47</v>
      </c>
    </row>
    <row r="471" spans="8:10" x14ac:dyDescent="0.3">
      <c r="H471" t="s">
        <v>78</v>
      </c>
      <c r="I471">
        <v>514</v>
      </c>
      <c r="J471" s="55">
        <v>95.02</v>
      </c>
    </row>
    <row r="472" spans="8:10" x14ac:dyDescent="0.3">
      <c r="H472" t="s">
        <v>78</v>
      </c>
      <c r="I472">
        <v>515</v>
      </c>
      <c r="J472" s="55">
        <v>95.55</v>
      </c>
    </row>
    <row r="473" spans="8:10" x14ac:dyDescent="0.3">
      <c r="H473" t="s">
        <v>78</v>
      </c>
      <c r="I473">
        <v>516</v>
      </c>
      <c r="J473" s="55">
        <v>96.07</v>
      </c>
    </row>
    <row r="474" spans="8:10" x14ac:dyDescent="0.3">
      <c r="H474" t="s">
        <v>78</v>
      </c>
      <c r="I474">
        <v>517</v>
      </c>
      <c r="J474" s="55">
        <v>96.58</v>
      </c>
    </row>
    <row r="475" spans="8:10" x14ac:dyDescent="0.3">
      <c r="H475" t="s">
        <v>78</v>
      </c>
      <c r="I475">
        <v>518</v>
      </c>
      <c r="J475" s="55">
        <v>97.08</v>
      </c>
    </row>
    <row r="476" spans="8:10" x14ac:dyDescent="0.3">
      <c r="H476" t="s">
        <v>78</v>
      </c>
      <c r="I476">
        <v>519</v>
      </c>
      <c r="J476" s="55">
        <v>97.56</v>
      </c>
    </row>
    <row r="477" spans="8:10" x14ac:dyDescent="0.3">
      <c r="H477" t="s">
        <v>78</v>
      </c>
      <c r="I477">
        <v>520</v>
      </c>
      <c r="J477" s="55">
        <v>98.04</v>
      </c>
    </row>
    <row r="478" spans="8:10" x14ac:dyDescent="0.3">
      <c r="H478" t="s">
        <v>78</v>
      </c>
      <c r="I478">
        <v>521</v>
      </c>
      <c r="J478" s="55">
        <v>98.49</v>
      </c>
    </row>
    <row r="479" spans="8:10" x14ac:dyDescent="0.3">
      <c r="H479" t="s">
        <v>78</v>
      </c>
      <c r="I479">
        <v>522</v>
      </c>
      <c r="J479" s="55">
        <v>98.94</v>
      </c>
    </row>
    <row r="480" spans="8:10" x14ac:dyDescent="0.3">
      <c r="H480" t="s">
        <v>78</v>
      </c>
      <c r="I480">
        <v>523</v>
      </c>
      <c r="J480" s="55">
        <v>99.37</v>
      </c>
    </row>
    <row r="481" spans="8:10" x14ac:dyDescent="0.3">
      <c r="H481" t="s">
        <v>78</v>
      </c>
      <c r="I481">
        <v>524</v>
      </c>
      <c r="J481" s="55">
        <v>99.81</v>
      </c>
    </row>
    <row r="482" spans="8:10" x14ac:dyDescent="0.3">
      <c r="H482" t="s">
        <v>78</v>
      </c>
      <c r="I482">
        <v>525</v>
      </c>
      <c r="J482" s="55">
        <v>100.21</v>
      </c>
    </row>
    <row r="483" spans="8:10" x14ac:dyDescent="0.3">
      <c r="H483" t="s">
        <v>78</v>
      </c>
      <c r="I483">
        <v>526</v>
      </c>
      <c r="J483" s="55">
        <v>100.61</v>
      </c>
    </row>
    <row r="484" spans="8:10" x14ac:dyDescent="0.3">
      <c r="H484" t="s">
        <v>78</v>
      </c>
      <c r="I484">
        <v>527</v>
      </c>
      <c r="J484" s="55">
        <v>101</v>
      </c>
    </row>
    <row r="485" spans="8:10" x14ac:dyDescent="0.3">
      <c r="H485" t="s">
        <v>78</v>
      </c>
      <c r="I485">
        <v>528</v>
      </c>
      <c r="J485" s="55">
        <v>101.37</v>
      </c>
    </row>
    <row r="486" spans="8:10" x14ac:dyDescent="0.3">
      <c r="H486" t="s">
        <v>78</v>
      </c>
      <c r="I486">
        <v>529</v>
      </c>
      <c r="J486" s="55">
        <v>101.73</v>
      </c>
    </row>
    <row r="487" spans="8:10" x14ac:dyDescent="0.3">
      <c r="H487" t="s">
        <v>78</v>
      </c>
      <c r="I487">
        <v>530</v>
      </c>
      <c r="J487" s="55">
        <v>102.08</v>
      </c>
    </row>
    <row r="488" spans="8:10" x14ac:dyDescent="0.3">
      <c r="H488" t="s">
        <v>78</v>
      </c>
      <c r="I488">
        <v>531</v>
      </c>
      <c r="J488" s="55">
        <v>102.42</v>
      </c>
    </row>
    <row r="489" spans="8:10" x14ac:dyDescent="0.3">
      <c r="H489" t="s">
        <v>78</v>
      </c>
      <c r="I489">
        <v>532</v>
      </c>
      <c r="J489" s="55">
        <v>102.75</v>
      </c>
    </row>
    <row r="490" spans="8:10" x14ac:dyDescent="0.3">
      <c r="H490" t="s">
        <v>78</v>
      </c>
      <c r="I490">
        <v>533</v>
      </c>
      <c r="J490" s="55">
        <v>103.07</v>
      </c>
    </row>
    <row r="491" spans="8:10" x14ac:dyDescent="0.3">
      <c r="H491" t="s">
        <v>78</v>
      </c>
      <c r="I491">
        <v>534</v>
      </c>
      <c r="J491" s="55">
        <v>103.37</v>
      </c>
    </row>
    <row r="492" spans="8:10" x14ac:dyDescent="0.3">
      <c r="H492" t="s">
        <v>78</v>
      </c>
      <c r="I492">
        <v>535</v>
      </c>
      <c r="J492" s="55">
        <v>103.67</v>
      </c>
    </row>
    <row r="493" spans="8:10" x14ac:dyDescent="0.3">
      <c r="H493" t="s">
        <v>78</v>
      </c>
      <c r="I493">
        <v>536</v>
      </c>
      <c r="J493" s="55">
        <v>103.96</v>
      </c>
    </row>
    <row r="494" spans="8:10" x14ac:dyDescent="0.3">
      <c r="H494" t="s">
        <v>78</v>
      </c>
      <c r="I494">
        <v>537</v>
      </c>
      <c r="J494" s="55">
        <v>104.23</v>
      </c>
    </row>
    <row r="495" spans="8:10" x14ac:dyDescent="0.3">
      <c r="H495" t="s">
        <v>78</v>
      </c>
      <c r="I495">
        <v>538</v>
      </c>
      <c r="J495" s="55">
        <v>104.49</v>
      </c>
    </row>
    <row r="496" spans="8:10" x14ac:dyDescent="0.3">
      <c r="H496" t="s">
        <v>78</v>
      </c>
      <c r="I496">
        <v>539</v>
      </c>
      <c r="J496" s="55">
        <v>104.75</v>
      </c>
    </row>
    <row r="497" spans="8:10" x14ac:dyDescent="0.3">
      <c r="H497" t="s">
        <v>78</v>
      </c>
      <c r="I497">
        <v>540</v>
      </c>
      <c r="J497" s="55">
        <v>105</v>
      </c>
    </row>
    <row r="498" spans="8:10" x14ac:dyDescent="0.3">
      <c r="H498" t="s">
        <v>78</v>
      </c>
      <c r="I498">
        <v>541</v>
      </c>
      <c r="J498" s="55">
        <v>105.22</v>
      </c>
    </row>
    <row r="499" spans="8:10" x14ac:dyDescent="0.3">
      <c r="H499" t="s">
        <v>78</v>
      </c>
      <c r="I499">
        <v>542</v>
      </c>
      <c r="J499" s="55">
        <v>105.45</v>
      </c>
    </row>
    <row r="500" spans="8:10" x14ac:dyDescent="0.3">
      <c r="H500" t="s">
        <v>78</v>
      </c>
      <c r="I500">
        <v>543</v>
      </c>
      <c r="J500" s="55">
        <v>105.67</v>
      </c>
    </row>
    <row r="501" spans="8:10" x14ac:dyDescent="0.3">
      <c r="H501" t="s">
        <v>78</v>
      </c>
      <c r="I501">
        <v>544</v>
      </c>
      <c r="J501" s="55">
        <v>105.87</v>
      </c>
    </row>
    <row r="502" spans="8:10" x14ac:dyDescent="0.3">
      <c r="H502" t="s">
        <v>78</v>
      </c>
      <c r="I502">
        <v>545</v>
      </c>
      <c r="J502" s="55">
        <v>106.07</v>
      </c>
    </row>
    <row r="503" spans="8:10" x14ac:dyDescent="0.3">
      <c r="H503" t="s">
        <v>78</v>
      </c>
      <c r="I503">
        <v>546</v>
      </c>
      <c r="J503" s="55">
        <v>106.25</v>
      </c>
    </row>
    <row r="504" spans="8:10" x14ac:dyDescent="0.3">
      <c r="H504" t="s">
        <v>78</v>
      </c>
      <c r="I504">
        <v>547</v>
      </c>
      <c r="J504" s="55">
        <v>106.43</v>
      </c>
    </row>
    <row r="505" spans="8:10" x14ac:dyDescent="0.3">
      <c r="H505" t="s">
        <v>78</v>
      </c>
      <c r="I505">
        <v>548</v>
      </c>
      <c r="J505" s="55">
        <v>106.61</v>
      </c>
    </row>
    <row r="506" spans="8:10" x14ac:dyDescent="0.3">
      <c r="H506" t="s">
        <v>78</v>
      </c>
      <c r="I506">
        <v>549</v>
      </c>
      <c r="J506" s="55">
        <v>106.78</v>
      </c>
    </row>
    <row r="507" spans="8:10" x14ac:dyDescent="0.3">
      <c r="H507" t="s">
        <v>78</v>
      </c>
      <c r="I507">
        <v>550</v>
      </c>
      <c r="J507" s="55">
        <v>106.93</v>
      </c>
    </row>
    <row r="508" spans="8:10" x14ac:dyDescent="0.3">
      <c r="H508" t="s">
        <v>78</v>
      </c>
      <c r="I508">
        <v>551</v>
      </c>
      <c r="J508" s="55">
        <v>107.09</v>
      </c>
    </row>
    <row r="509" spans="8:10" x14ac:dyDescent="0.3">
      <c r="H509" t="s">
        <v>78</v>
      </c>
      <c r="I509">
        <v>552</v>
      </c>
      <c r="J509" s="55">
        <v>107.22</v>
      </c>
    </row>
    <row r="510" spans="8:10" x14ac:dyDescent="0.3">
      <c r="H510" t="s">
        <v>78</v>
      </c>
      <c r="I510">
        <v>553</v>
      </c>
      <c r="J510" s="55">
        <v>107.36</v>
      </c>
    </row>
    <row r="511" spans="8:10" x14ac:dyDescent="0.3">
      <c r="H511" t="s">
        <v>78</v>
      </c>
      <c r="I511">
        <v>554</v>
      </c>
      <c r="J511" s="55">
        <v>107.49</v>
      </c>
    </row>
    <row r="512" spans="8:10" x14ac:dyDescent="0.3">
      <c r="H512" t="s">
        <v>78</v>
      </c>
      <c r="I512">
        <v>555</v>
      </c>
      <c r="J512" s="55">
        <v>107.61</v>
      </c>
    </row>
    <row r="513" spans="8:10" x14ac:dyDescent="0.3">
      <c r="H513" t="s">
        <v>78</v>
      </c>
      <c r="I513">
        <v>556</v>
      </c>
      <c r="J513" s="55">
        <v>107.74</v>
      </c>
    </row>
    <row r="514" spans="8:10" x14ac:dyDescent="0.3">
      <c r="H514" t="s">
        <v>78</v>
      </c>
      <c r="I514">
        <v>557</v>
      </c>
      <c r="J514" s="55">
        <v>107.84</v>
      </c>
    </row>
    <row r="515" spans="8:10" x14ac:dyDescent="0.3">
      <c r="H515" t="s">
        <v>78</v>
      </c>
      <c r="I515">
        <v>558</v>
      </c>
      <c r="J515" s="55">
        <v>107.94</v>
      </c>
    </row>
    <row r="516" spans="8:10" x14ac:dyDescent="0.3">
      <c r="H516" t="s">
        <v>78</v>
      </c>
      <c r="I516">
        <v>559</v>
      </c>
      <c r="J516" s="55">
        <v>108.06</v>
      </c>
    </row>
    <row r="517" spans="8:10" x14ac:dyDescent="0.3">
      <c r="H517" t="s">
        <v>78</v>
      </c>
      <c r="I517">
        <v>560</v>
      </c>
      <c r="J517" s="55">
        <v>108.15</v>
      </c>
    </row>
    <row r="518" spans="8:10" x14ac:dyDescent="0.3">
      <c r="H518" t="s">
        <v>78</v>
      </c>
      <c r="I518">
        <v>561</v>
      </c>
      <c r="J518" s="55">
        <v>108.23</v>
      </c>
    </row>
    <row r="519" spans="8:10" x14ac:dyDescent="0.3">
      <c r="H519" t="s">
        <v>78</v>
      </c>
      <c r="I519">
        <v>562</v>
      </c>
      <c r="J519" s="55">
        <v>108.33</v>
      </c>
    </row>
    <row r="520" spans="8:10" x14ac:dyDescent="0.3">
      <c r="H520" t="s">
        <v>78</v>
      </c>
      <c r="I520">
        <v>563</v>
      </c>
      <c r="J520" s="55">
        <v>108.41</v>
      </c>
    </row>
    <row r="521" spans="8:10" x14ac:dyDescent="0.3">
      <c r="H521" t="s">
        <v>78</v>
      </c>
      <c r="I521">
        <v>564</v>
      </c>
      <c r="J521" s="55">
        <v>108.48</v>
      </c>
    </row>
    <row r="522" spans="8:10" x14ac:dyDescent="0.3">
      <c r="H522" t="s">
        <v>78</v>
      </c>
      <c r="I522">
        <v>565</v>
      </c>
      <c r="J522" s="55">
        <v>108.55</v>
      </c>
    </row>
    <row r="523" spans="8:10" x14ac:dyDescent="0.3">
      <c r="H523" t="s">
        <v>78</v>
      </c>
      <c r="I523">
        <v>566</v>
      </c>
      <c r="J523" s="55">
        <v>108.63</v>
      </c>
    </row>
    <row r="524" spans="8:10" x14ac:dyDescent="0.3">
      <c r="H524" t="s">
        <v>78</v>
      </c>
      <c r="I524">
        <v>567</v>
      </c>
      <c r="J524" s="55">
        <v>108.7</v>
      </c>
    </row>
    <row r="525" spans="8:10" x14ac:dyDescent="0.3">
      <c r="H525" t="s">
        <v>78</v>
      </c>
      <c r="I525">
        <v>568</v>
      </c>
      <c r="J525" s="55">
        <v>108.76</v>
      </c>
    </row>
    <row r="526" spans="8:10" x14ac:dyDescent="0.3">
      <c r="H526" t="s">
        <v>78</v>
      </c>
      <c r="I526">
        <v>569</v>
      </c>
      <c r="J526" s="55">
        <v>108.82</v>
      </c>
    </row>
    <row r="527" spans="8:10" x14ac:dyDescent="0.3">
      <c r="H527" t="s">
        <v>81</v>
      </c>
      <c r="I527">
        <v>344</v>
      </c>
      <c r="J527" s="55">
        <v>15.98</v>
      </c>
    </row>
    <row r="528" spans="8:10" x14ac:dyDescent="0.3">
      <c r="H528" t="s">
        <v>81</v>
      </c>
      <c r="I528">
        <v>345</v>
      </c>
      <c r="J528" s="55">
        <v>15.98</v>
      </c>
    </row>
    <row r="529" spans="8:10" x14ac:dyDescent="0.3">
      <c r="H529" t="s">
        <v>81</v>
      </c>
      <c r="I529">
        <v>346</v>
      </c>
      <c r="J529" s="55">
        <v>15.98</v>
      </c>
    </row>
    <row r="530" spans="8:10" x14ac:dyDescent="0.3">
      <c r="H530" t="s">
        <v>81</v>
      </c>
      <c r="I530">
        <v>347</v>
      </c>
      <c r="J530" s="55">
        <v>15.98</v>
      </c>
    </row>
    <row r="531" spans="8:10" x14ac:dyDescent="0.3">
      <c r="H531" t="s">
        <v>81</v>
      </c>
      <c r="I531">
        <v>348</v>
      </c>
      <c r="J531" s="55">
        <v>15.98</v>
      </c>
    </row>
    <row r="532" spans="8:10" x14ac:dyDescent="0.3">
      <c r="H532" t="s">
        <v>81</v>
      </c>
      <c r="I532">
        <v>349</v>
      </c>
      <c r="J532" s="55">
        <v>15.98</v>
      </c>
    </row>
    <row r="533" spans="8:10" x14ac:dyDescent="0.3">
      <c r="H533" t="s">
        <v>81</v>
      </c>
      <c r="I533">
        <v>350</v>
      </c>
      <c r="J533" s="55">
        <v>15.98</v>
      </c>
    </row>
    <row r="534" spans="8:10" x14ac:dyDescent="0.3">
      <c r="H534" t="s">
        <v>81</v>
      </c>
      <c r="I534">
        <v>351</v>
      </c>
      <c r="J534" s="55">
        <v>15.98</v>
      </c>
    </row>
    <row r="535" spans="8:10" x14ac:dyDescent="0.3">
      <c r="H535" t="s">
        <v>81</v>
      </c>
      <c r="I535">
        <v>352</v>
      </c>
      <c r="J535" s="55">
        <v>15.98</v>
      </c>
    </row>
    <row r="536" spans="8:10" x14ac:dyDescent="0.3">
      <c r="H536" t="s">
        <v>81</v>
      </c>
      <c r="I536">
        <v>353</v>
      </c>
      <c r="J536" s="55">
        <v>15.98</v>
      </c>
    </row>
    <row r="537" spans="8:10" x14ac:dyDescent="0.3">
      <c r="H537" t="s">
        <v>81</v>
      </c>
      <c r="I537">
        <v>354</v>
      </c>
      <c r="J537" s="55">
        <v>15.98</v>
      </c>
    </row>
    <row r="538" spans="8:10" x14ac:dyDescent="0.3">
      <c r="H538" t="s">
        <v>81</v>
      </c>
      <c r="I538">
        <v>355</v>
      </c>
      <c r="J538" s="55">
        <v>15.98</v>
      </c>
    </row>
    <row r="539" spans="8:10" x14ac:dyDescent="0.3">
      <c r="H539" t="s">
        <v>81</v>
      </c>
      <c r="I539">
        <v>356</v>
      </c>
      <c r="J539" s="55">
        <v>15.98</v>
      </c>
    </row>
    <row r="540" spans="8:10" x14ac:dyDescent="0.3">
      <c r="H540" t="s">
        <v>81</v>
      </c>
      <c r="I540">
        <v>357</v>
      </c>
      <c r="J540" s="55">
        <v>15.98</v>
      </c>
    </row>
    <row r="541" spans="8:10" x14ac:dyDescent="0.3">
      <c r="H541" t="s">
        <v>81</v>
      </c>
      <c r="I541">
        <v>358</v>
      </c>
      <c r="J541" s="55">
        <v>15.98</v>
      </c>
    </row>
    <row r="542" spans="8:10" x14ac:dyDescent="0.3">
      <c r="H542" t="s">
        <v>81</v>
      </c>
      <c r="I542">
        <v>359</v>
      </c>
      <c r="J542" s="55">
        <v>15.98</v>
      </c>
    </row>
    <row r="543" spans="8:10" x14ac:dyDescent="0.3">
      <c r="H543" t="s">
        <v>81</v>
      </c>
      <c r="I543">
        <v>360</v>
      </c>
      <c r="J543" s="55">
        <v>15.98</v>
      </c>
    </row>
    <row r="544" spans="8:10" x14ac:dyDescent="0.3">
      <c r="H544" t="s">
        <v>81</v>
      </c>
      <c r="I544">
        <v>361</v>
      </c>
      <c r="J544" s="55">
        <v>15.98</v>
      </c>
    </row>
    <row r="545" spans="8:10" x14ac:dyDescent="0.3">
      <c r="H545" t="s">
        <v>81</v>
      </c>
      <c r="I545">
        <v>362</v>
      </c>
      <c r="J545" s="55">
        <v>15.98</v>
      </c>
    </row>
    <row r="546" spans="8:10" x14ac:dyDescent="0.3">
      <c r="H546" t="s">
        <v>81</v>
      </c>
      <c r="I546">
        <v>363</v>
      </c>
      <c r="J546" s="55">
        <v>15.98</v>
      </c>
    </row>
    <row r="547" spans="8:10" x14ac:dyDescent="0.3">
      <c r="H547" t="s">
        <v>81</v>
      </c>
      <c r="I547">
        <v>364</v>
      </c>
      <c r="J547" s="55">
        <v>15.98</v>
      </c>
    </row>
    <row r="548" spans="8:10" x14ac:dyDescent="0.3">
      <c r="H548" t="s">
        <v>81</v>
      </c>
      <c r="I548">
        <v>365</v>
      </c>
      <c r="J548" s="55">
        <v>15.98</v>
      </c>
    </row>
    <row r="549" spans="8:10" x14ac:dyDescent="0.3">
      <c r="H549" t="s">
        <v>81</v>
      </c>
      <c r="I549">
        <v>366</v>
      </c>
      <c r="J549" s="55">
        <v>15.98</v>
      </c>
    </row>
    <row r="550" spans="8:10" x14ac:dyDescent="0.3">
      <c r="H550" t="s">
        <v>81</v>
      </c>
      <c r="I550">
        <v>367</v>
      </c>
      <c r="J550" s="55">
        <v>15.98</v>
      </c>
    </row>
    <row r="551" spans="8:10" x14ac:dyDescent="0.3">
      <c r="H551" t="s">
        <v>81</v>
      </c>
      <c r="I551">
        <v>368</v>
      </c>
      <c r="J551" s="55">
        <v>15.98</v>
      </c>
    </row>
    <row r="552" spans="8:10" x14ac:dyDescent="0.3">
      <c r="H552" t="s">
        <v>81</v>
      </c>
      <c r="I552">
        <v>369</v>
      </c>
      <c r="J552" s="55">
        <v>15.98</v>
      </c>
    </row>
    <row r="553" spans="8:10" x14ac:dyDescent="0.3">
      <c r="H553" t="s">
        <v>81</v>
      </c>
      <c r="I553">
        <v>370</v>
      </c>
      <c r="J553" s="55">
        <v>15.98</v>
      </c>
    </row>
    <row r="554" spans="8:10" x14ac:dyDescent="0.3">
      <c r="H554" t="s">
        <v>81</v>
      </c>
      <c r="I554">
        <v>371</v>
      </c>
      <c r="J554" s="55">
        <v>15.98</v>
      </c>
    </row>
    <row r="555" spans="8:10" x14ac:dyDescent="0.3">
      <c r="H555" t="s">
        <v>81</v>
      </c>
      <c r="I555">
        <v>372</v>
      </c>
      <c r="J555" s="55">
        <v>15.98</v>
      </c>
    </row>
    <row r="556" spans="8:10" x14ac:dyDescent="0.3">
      <c r="H556" t="s">
        <v>81</v>
      </c>
      <c r="I556">
        <v>373</v>
      </c>
      <c r="J556" s="55">
        <v>15.98</v>
      </c>
    </row>
    <row r="557" spans="8:10" x14ac:dyDescent="0.3">
      <c r="H557" t="s">
        <v>81</v>
      </c>
      <c r="I557">
        <v>374</v>
      </c>
      <c r="J557" s="55">
        <v>15.98</v>
      </c>
    </row>
    <row r="558" spans="8:10" x14ac:dyDescent="0.3">
      <c r="H558" t="s">
        <v>81</v>
      </c>
      <c r="I558">
        <v>375</v>
      </c>
      <c r="J558" s="55">
        <v>15.98</v>
      </c>
    </row>
    <row r="559" spans="8:10" x14ac:dyDescent="0.3">
      <c r="H559" t="s">
        <v>81</v>
      </c>
      <c r="I559">
        <v>376</v>
      </c>
      <c r="J559" s="55">
        <v>15.98</v>
      </c>
    </row>
    <row r="560" spans="8:10" x14ac:dyDescent="0.3">
      <c r="H560" t="s">
        <v>81</v>
      </c>
      <c r="I560">
        <v>377</v>
      </c>
      <c r="J560" s="55">
        <v>15.98</v>
      </c>
    </row>
    <row r="561" spans="8:10" x14ac:dyDescent="0.3">
      <c r="H561" t="s">
        <v>81</v>
      </c>
      <c r="I561">
        <v>378</v>
      </c>
      <c r="J561" s="55">
        <v>15.98</v>
      </c>
    </row>
    <row r="562" spans="8:10" x14ac:dyDescent="0.3">
      <c r="H562" t="s">
        <v>81</v>
      </c>
      <c r="I562">
        <v>379</v>
      </c>
      <c r="J562" s="55">
        <v>15.98</v>
      </c>
    </row>
    <row r="563" spans="8:10" x14ac:dyDescent="0.3">
      <c r="H563" t="s">
        <v>81</v>
      </c>
      <c r="I563">
        <v>380</v>
      </c>
      <c r="J563" s="55">
        <v>16.02</v>
      </c>
    </row>
    <row r="564" spans="8:10" x14ac:dyDescent="0.3">
      <c r="H564" t="s">
        <v>81</v>
      </c>
      <c r="I564">
        <v>381</v>
      </c>
      <c r="J564" s="55">
        <v>16.04</v>
      </c>
    </row>
    <row r="565" spans="8:10" x14ac:dyDescent="0.3">
      <c r="H565" t="s">
        <v>81</v>
      </c>
      <c r="I565">
        <v>382</v>
      </c>
      <c r="J565" s="55">
        <v>16.07</v>
      </c>
    </row>
    <row r="566" spans="8:10" x14ac:dyDescent="0.3">
      <c r="H566" t="s">
        <v>81</v>
      </c>
      <c r="I566">
        <v>383</v>
      </c>
      <c r="J566" s="55">
        <v>16.09</v>
      </c>
    </row>
    <row r="567" spans="8:10" x14ac:dyDescent="0.3">
      <c r="H567" t="s">
        <v>81</v>
      </c>
      <c r="I567">
        <v>384</v>
      </c>
      <c r="J567" s="55">
        <v>16.12</v>
      </c>
    </row>
    <row r="568" spans="8:10" x14ac:dyDescent="0.3">
      <c r="H568" t="s">
        <v>81</v>
      </c>
      <c r="I568">
        <v>385</v>
      </c>
      <c r="J568" s="55">
        <v>16.149999999999999</v>
      </c>
    </row>
    <row r="569" spans="8:10" x14ac:dyDescent="0.3">
      <c r="H569" t="s">
        <v>81</v>
      </c>
      <c r="I569">
        <v>386</v>
      </c>
      <c r="J569" s="55">
        <v>16.170000000000002</v>
      </c>
    </row>
    <row r="570" spans="8:10" x14ac:dyDescent="0.3">
      <c r="H570" t="s">
        <v>81</v>
      </c>
      <c r="I570">
        <v>387</v>
      </c>
      <c r="J570" s="55">
        <v>16.2</v>
      </c>
    </row>
    <row r="571" spans="8:10" x14ac:dyDescent="0.3">
      <c r="H571" t="s">
        <v>81</v>
      </c>
      <c r="I571">
        <v>388</v>
      </c>
      <c r="J571" s="55">
        <v>16.23</v>
      </c>
    </row>
    <row r="572" spans="8:10" x14ac:dyDescent="0.3">
      <c r="H572" t="s">
        <v>81</v>
      </c>
      <c r="I572">
        <v>389</v>
      </c>
      <c r="J572" s="55">
        <v>16.25</v>
      </c>
    </row>
    <row r="573" spans="8:10" x14ac:dyDescent="0.3">
      <c r="H573" t="s">
        <v>81</v>
      </c>
      <c r="I573">
        <v>390</v>
      </c>
      <c r="J573" s="55">
        <v>16.28</v>
      </c>
    </row>
    <row r="574" spans="8:10" x14ac:dyDescent="0.3">
      <c r="H574" t="s">
        <v>81</v>
      </c>
      <c r="I574">
        <v>391</v>
      </c>
      <c r="J574" s="55">
        <v>16.329999999999998</v>
      </c>
    </row>
    <row r="575" spans="8:10" x14ac:dyDescent="0.3">
      <c r="H575" t="s">
        <v>81</v>
      </c>
      <c r="I575">
        <v>392</v>
      </c>
      <c r="J575" s="55">
        <v>16.36</v>
      </c>
    </row>
    <row r="576" spans="8:10" x14ac:dyDescent="0.3">
      <c r="H576" t="s">
        <v>81</v>
      </c>
      <c r="I576">
        <v>393</v>
      </c>
      <c r="J576" s="55">
        <v>16.39</v>
      </c>
    </row>
    <row r="577" spans="8:10" x14ac:dyDescent="0.3">
      <c r="H577" t="s">
        <v>81</v>
      </c>
      <c r="I577">
        <v>394</v>
      </c>
      <c r="J577" s="55">
        <v>16.420000000000002</v>
      </c>
    </row>
    <row r="578" spans="8:10" x14ac:dyDescent="0.3">
      <c r="H578" t="s">
        <v>81</v>
      </c>
      <c r="I578">
        <v>395</v>
      </c>
      <c r="J578" s="55">
        <v>16.45</v>
      </c>
    </row>
    <row r="579" spans="8:10" x14ac:dyDescent="0.3">
      <c r="H579" t="s">
        <v>81</v>
      </c>
      <c r="I579">
        <v>396</v>
      </c>
      <c r="J579" s="55">
        <v>16.48</v>
      </c>
    </row>
    <row r="580" spans="8:10" x14ac:dyDescent="0.3">
      <c r="H580" t="s">
        <v>81</v>
      </c>
      <c r="I580">
        <v>397</v>
      </c>
      <c r="J580" s="55">
        <v>16.510000000000002</v>
      </c>
    </row>
    <row r="581" spans="8:10" x14ac:dyDescent="0.3">
      <c r="H581" t="s">
        <v>81</v>
      </c>
      <c r="I581">
        <v>398</v>
      </c>
      <c r="J581" s="55">
        <v>16.54</v>
      </c>
    </row>
    <row r="582" spans="8:10" x14ac:dyDescent="0.3">
      <c r="H582" t="s">
        <v>81</v>
      </c>
      <c r="I582">
        <v>399</v>
      </c>
      <c r="J582" s="55">
        <v>16.579999999999998</v>
      </c>
    </row>
    <row r="583" spans="8:10" x14ac:dyDescent="0.3">
      <c r="H583" t="s">
        <v>81</v>
      </c>
      <c r="I583">
        <v>400</v>
      </c>
      <c r="J583" s="55">
        <v>16.62</v>
      </c>
    </row>
    <row r="584" spans="8:10" x14ac:dyDescent="0.3">
      <c r="H584" t="s">
        <v>81</v>
      </c>
      <c r="I584">
        <v>401</v>
      </c>
      <c r="J584" s="55">
        <v>16.670000000000002</v>
      </c>
    </row>
    <row r="585" spans="8:10" x14ac:dyDescent="0.3">
      <c r="H585" t="s">
        <v>81</v>
      </c>
      <c r="I585">
        <v>402</v>
      </c>
      <c r="J585" s="55">
        <v>16.7</v>
      </c>
    </row>
    <row r="586" spans="8:10" x14ac:dyDescent="0.3">
      <c r="H586" t="s">
        <v>81</v>
      </c>
      <c r="I586">
        <v>403</v>
      </c>
      <c r="J586" s="55">
        <v>16.739999999999998</v>
      </c>
    </row>
    <row r="587" spans="8:10" x14ac:dyDescent="0.3">
      <c r="H587" t="s">
        <v>81</v>
      </c>
      <c r="I587">
        <v>404</v>
      </c>
      <c r="J587" s="55">
        <v>16.78</v>
      </c>
    </row>
    <row r="588" spans="8:10" x14ac:dyDescent="0.3">
      <c r="H588" t="s">
        <v>81</v>
      </c>
      <c r="I588">
        <v>405</v>
      </c>
      <c r="J588" s="55">
        <v>16.82</v>
      </c>
    </row>
    <row r="589" spans="8:10" x14ac:dyDescent="0.3">
      <c r="H589" t="s">
        <v>81</v>
      </c>
      <c r="I589">
        <v>406</v>
      </c>
      <c r="J589" s="55">
        <v>16.86</v>
      </c>
    </row>
    <row r="590" spans="8:10" x14ac:dyDescent="0.3">
      <c r="H590" t="s">
        <v>81</v>
      </c>
      <c r="I590">
        <v>407</v>
      </c>
      <c r="J590" s="55">
        <v>16.91</v>
      </c>
    </row>
    <row r="591" spans="8:10" x14ac:dyDescent="0.3">
      <c r="H591" t="s">
        <v>81</v>
      </c>
      <c r="I591">
        <v>408</v>
      </c>
      <c r="J591" s="55">
        <v>16.95</v>
      </c>
    </row>
    <row r="592" spans="8:10" x14ac:dyDescent="0.3">
      <c r="H592" t="s">
        <v>81</v>
      </c>
      <c r="I592">
        <v>409</v>
      </c>
      <c r="J592" s="55">
        <v>17</v>
      </c>
    </row>
    <row r="593" spans="8:10" x14ac:dyDescent="0.3">
      <c r="H593" t="s">
        <v>81</v>
      </c>
      <c r="I593">
        <v>410</v>
      </c>
      <c r="J593" s="55">
        <v>17.05</v>
      </c>
    </row>
    <row r="594" spans="8:10" x14ac:dyDescent="0.3">
      <c r="H594" t="s">
        <v>81</v>
      </c>
      <c r="I594">
        <v>411</v>
      </c>
      <c r="J594" s="55">
        <v>17.09</v>
      </c>
    </row>
    <row r="595" spans="8:10" x14ac:dyDescent="0.3">
      <c r="H595" t="s">
        <v>81</v>
      </c>
      <c r="I595">
        <v>412</v>
      </c>
      <c r="J595" s="55">
        <v>17.14</v>
      </c>
    </row>
    <row r="596" spans="8:10" x14ac:dyDescent="0.3">
      <c r="H596" t="s">
        <v>81</v>
      </c>
      <c r="I596">
        <v>413</v>
      </c>
      <c r="J596" s="55">
        <v>17.190000000000001</v>
      </c>
    </row>
    <row r="597" spans="8:10" x14ac:dyDescent="0.3">
      <c r="H597" t="s">
        <v>81</v>
      </c>
      <c r="I597">
        <v>414</v>
      </c>
      <c r="J597" s="55">
        <v>17.25</v>
      </c>
    </row>
    <row r="598" spans="8:10" x14ac:dyDescent="0.3">
      <c r="H598" t="s">
        <v>81</v>
      </c>
      <c r="I598">
        <v>415</v>
      </c>
      <c r="J598" s="55">
        <v>17.3</v>
      </c>
    </row>
    <row r="599" spans="8:10" x14ac:dyDescent="0.3">
      <c r="H599" t="s">
        <v>81</v>
      </c>
      <c r="I599">
        <v>416</v>
      </c>
      <c r="J599" s="55">
        <v>17.37</v>
      </c>
    </row>
    <row r="600" spans="8:10" x14ac:dyDescent="0.3">
      <c r="H600" t="s">
        <v>81</v>
      </c>
      <c r="I600">
        <v>417</v>
      </c>
      <c r="J600" s="55">
        <v>17.420000000000002</v>
      </c>
    </row>
    <row r="601" spans="8:10" x14ac:dyDescent="0.3">
      <c r="H601" t="s">
        <v>81</v>
      </c>
      <c r="I601">
        <v>418</v>
      </c>
      <c r="J601" s="55">
        <v>17.48</v>
      </c>
    </row>
    <row r="602" spans="8:10" x14ac:dyDescent="0.3">
      <c r="H602" t="s">
        <v>81</v>
      </c>
      <c r="I602">
        <v>419</v>
      </c>
      <c r="J602" s="55">
        <v>17.55</v>
      </c>
    </row>
    <row r="603" spans="8:10" x14ac:dyDescent="0.3">
      <c r="H603" t="s">
        <v>81</v>
      </c>
      <c r="I603">
        <v>420</v>
      </c>
      <c r="J603" s="55">
        <v>17.61</v>
      </c>
    </row>
    <row r="604" spans="8:10" x14ac:dyDescent="0.3">
      <c r="H604" t="s">
        <v>81</v>
      </c>
      <c r="I604">
        <v>421</v>
      </c>
      <c r="J604" s="55">
        <v>17.670000000000002</v>
      </c>
    </row>
    <row r="605" spans="8:10" x14ac:dyDescent="0.3">
      <c r="H605" t="s">
        <v>81</v>
      </c>
      <c r="I605">
        <v>422</v>
      </c>
      <c r="J605" s="55">
        <v>17.739999999999998</v>
      </c>
    </row>
    <row r="606" spans="8:10" x14ac:dyDescent="0.3">
      <c r="H606" t="s">
        <v>81</v>
      </c>
      <c r="I606">
        <v>423</v>
      </c>
      <c r="J606" s="55">
        <v>17.809999999999999</v>
      </c>
    </row>
    <row r="607" spans="8:10" x14ac:dyDescent="0.3">
      <c r="H607" t="s">
        <v>81</v>
      </c>
      <c r="I607">
        <v>424</v>
      </c>
      <c r="J607" s="55">
        <v>17.89</v>
      </c>
    </row>
    <row r="608" spans="8:10" x14ac:dyDescent="0.3">
      <c r="H608" t="s">
        <v>81</v>
      </c>
      <c r="I608">
        <v>425</v>
      </c>
      <c r="J608" s="55">
        <v>17.96</v>
      </c>
    </row>
    <row r="609" spans="8:10" x14ac:dyDescent="0.3">
      <c r="H609" t="s">
        <v>81</v>
      </c>
      <c r="I609">
        <v>426</v>
      </c>
      <c r="J609" s="55">
        <v>18.05</v>
      </c>
    </row>
    <row r="610" spans="8:10" x14ac:dyDescent="0.3">
      <c r="H610" t="s">
        <v>81</v>
      </c>
      <c r="I610">
        <v>427</v>
      </c>
      <c r="J610" s="55">
        <v>18.13</v>
      </c>
    </row>
    <row r="611" spans="8:10" x14ac:dyDescent="0.3">
      <c r="H611" t="s">
        <v>81</v>
      </c>
      <c r="I611">
        <v>428</v>
      </c>
      <c r="J611" s="55">
        <v>18.21</v>
      </c>
    </row>
    <row r="612" spans="8:10" x14ac:dyDescent="0.3">
      <c r="H612" t="s">
        <v>81</v>
      </c>
      <c r="I612">
        <v>429</v>
      </c>
      <c r="J612" s="55">
        <v>18.29</v>
      </c>
    </row>
    <row r="613" spans="8:10" x14ac:dyDescent="0.3">
      <c r="H613" t="s">
        <v>81</v>
      </c>
      <c r="I613">
        <v>430</v>
      </c>
      <c r="J613" s="55">
        <v>18.38</v>
      </c>
    </row>
    <row r="614" spans="8:10" x14ac:dyDescent="0.3">
      <c r="H614" t="s">
        <v>81</v>
      </c>
      <c r="I614">
        <v>431</v>
      </c>
      <c r="J614" s="55">
        <v>18.48</v>
      </c>
    </row>
    <row r="615" spans="8:10" x14ac:dyDescent="0.3">
      <c r="H615" t="s">
        <v>81</v>
      </c>
      <c r="I615">
        <v>432</v>
      </c>
      <c r="J615" s="55">
        <v>18.57</v>
      </c>
    </row>
    <row r="616" spans="8:10" x14ac:dyDescent="0.3">
      <c r="H616" t="s">
        <v>81</v>
      </c>
      <c r="I616">
        <v>433</v>
      </c>
      <c r="J616" s="55">
        <v>18.66</v>
      </c>
    </row>
    <row r="617" spans="8:10" x14ac:dyDescent="0.3">
      <c r="H617" t="s">
        <v>81</v>
      </c>
      <c r="I617">
        <v>434</v>
      </c>
      <c r="J617" s="55">
        <v>18.78</v>
      </c>
    </row>
    <row r="618" spans="8:10" x14ac:dyDescent="0.3">
      <c r="H618" t="s">
        <v>81</v>
      </c>
      <c r="I618">
        <v>435</v>
      </c>
      <c r="J618" s="55">
        <v>18.88</v>
      </c>
    </row>
    <row r="619" spans="8:10" x14ac:dyDescent="0.3">
      <c r="H619" t="s">
        <v>81</v>
      </c>
      <c r="I619">
        <v>436</v>
      </c>
      <c r="J619" s="55">
        <v>18.98</v>
      </c>
    </row>
    <row r="620" spans="8:10" x14ac:dyDescent="0.3">
      <c r="H620" t="s">
        <v>81</v>
      </c>
      <c r="I620">
        <v>437</v>
      </c>
      <c r="J620" s="55">
        <v>19.100000000000001</v>
      </c>
    </row>
    <row r="621" spans="8:10" x14ac:dyDescent="0.3">
      <c r="H621" t="s">
        <v>81</v>
      </c>
      <c r="I621">
        <v>438</v>
      </c>
      <c r="J621" s="55">
        <v>19.21</v>
      </c>
    </row>
    <row r="622" spans="8:10" x14ac:dyDescent="0.3">
      <c r="H622" t="s">
        <v>81</v>
      </c>
      <c r="I622">
        <v>439</v>
      </c>
      <c r="J622" s="55">
        <v>19.32</v>
      </c>
    </row>
    <row r="623" spans="8:10" x14ac:dyDescent="0.3">
      <c r="H623" t="s">
        <v>81</v>
      </c>
      <c r="I623">
        <v>440</v>
      </c>
      <c r="J623" s="55">
        <v>19.45</v>
      </c>
    </row>
    <row r="624" spans="8:10" x14ac:dyDescent="0.3">
      <c r="H624" t="s">
        <v>81</v>
      </c>
      <c r="I624">
        <v>441</v>
      </c>
      <c r="J624" s="55">
        <v>19.57</v>
      </c>
    </row>
    <row r="625" spans="8:10" x14ac:dyDescent="0.3">
      <c r="H625" t="s">
        <v>81</v>
      </c>
      <c r="I625">
        <v>442</v>
      </c>
      <c r="J625" s="55">
        <v>19.7</v>
      </c>
    </row>
    <row r="626" spans="8:10" x14ac:dyDescent="0.3">
      <c r="H626" t="s">
        <v>81</v>
      </c>
      <c r="I626">
        <v>443</v>
      </c>
      <c r="J626" s="55">
        <v>19.84</v>
      </c>
    </row>
    <row r="627" spans="8:10" x14ac:dyDescent="0.3">
      <c r="H627" t="s">
        <v>81</v>
      </c>
      <c r="I627">
        <v>444</v>
      </c>
      <c r="J627" s="55">
        <v>19.98</v>
      </c>
    </row>
    <row r="628" spans="8:10" x14ac:dyDescent="0.3">
      <c r="H628" t="s">
        <v>81</v>
      </c>
      <c r="I628">
        <v>445</v>
      </c>
      <c r="J628" s="55">
        <v>20.12</v>
      </c>
    </row>
    <row r="629" spans="8:10" x14ac:dyDescent="0.3">
      <c r="H629" t="s">
        <v>81</v>
      </c>
      <c r="I629">
        <v>446</v>
      </c>
      <c r="J629" s="55">
        <v>20.27</v>
      </c>
    </row>
    <row r="630" spans="8:10" x14ac:dyDescent="0.3">
      <c r="H630" t="s">
        <v>81</v>
      </c>
      <c r="I630">
        <v>447</v>
      </c>
      <c r="J630" s="55">
        <v>20.41</v>
      </c>
    </row>
    <row r="631" spans="8:10" x14ac:dyDescent="0.3">
      <c r="H631" t="s">
        <v>81</v>
      </c>
      <c r="I631">
        <v>448</v>
      </c>
      <c r="J631" s="55">
        <v>20.58</v>
      </c>
    </row>
    <row r="632" spans="8:10" x14ac:dyDescent="0.3">
      <c r="H632" t="s">
        <v>81</v>
      </c>
      <c r="I632">
        <v>449</v>
      </c>
      <c r="J632" s="55">
        <v>20.73</v>
      </c>
    </row>
    <row r="633" spans="8:10" x14ac:dyDescent="0.3">
      <c r="H633" t="s">
        <v>81</v>
      </c>
      <c r="I633">
        <v>450</v>
      </c>
      <c r="J633" s="55">
        <v>20.9</v>
      </c>
    </row>
    <row r="634" spans="8:10" x14ac:dyDescent="0.3">
      <c r="H634" t="s">
        <v>81</v>
      </c>
      <c r="I634">
        <v>451</v>
      </c>
      <c r="J634" s="55">
        <v>21.06</v>
      </c>
    </row>
    <row r="635" spans="8:10" x14ac:dyDescent="0.3">
      <c r="H635" t="s">
        <v>81</v>
      </c>
      <c r="I635">
        <v>452</v>
      </c>
      <c r="J635" s="55">
        <v>21.24</v>
      </c>
    </row>
    <row r="636" spans="8:10" x14ac:dyDescent="0.3">
      <c r="H636" t="s">
        <v>81</v>
      </c>
      <c r="I636">
        <v>453</v>
      </c>
      <c r="J636" s="55">
        <v>21.41</v>
      </c>
    </row>
    <row r="637" spans="8:10" x14ac:dyDescent="0.3">
      <c r="H637" t="s">
        <v>81</v>
      </c>
      <c r="I637">
        <v>454</v>
      </c>
      <c r="J637" s="55">
        <v>21.6</v>
      </c>
    </row>
    <row r="638" spans="8:10" x14ac:dyDescent="0.3">
      <c r="H638" t="s">
        <v>81</v>
      </c>
      <c r="I638">
        <v>455</v>
      </c>
      <c r="J638" s="55">
        <v>21.78</v>
      </c>
    </row>
    <row r="639" spans="8:10" x14ac:dyDescent="0.3">
      <c r="H639" t="s">
        <v>81</v>
      </c>
      <c r="I639">
        <v>456</v>
      </c>
      <c r="J639" s="55">
        <v>21.97</v>
      </c>
    </row>
    <row r="640" spans="8:10" x14ac:dyDescent="0.3">
      <c r="H640" t="s">
        <v>81</v>
      </c>
      <c r="I640">
        <v>457</v>
      </c>
      <c r="J640" s="55">
        <v>22.18</v>
      </c>
    </row>
    <row r="641" spans="8:10" x14ac:dyDescent="0.3">
      <c r="H641" t="s">
        <v>81</v>
      </c>
      <c r="I641">
        <v>458</v>
      </c>
      <c r="J641" s="55">
        <v>22.36</v>
      </c>
    </row>
    <row r="642" spans="8:10" x14ac:dyDescent="0.3">
      <c r="H642" t="s">
        <v>81</v>
      </c>
      <c r="I642">
        <v>459</v>
      </c>
      <c r="J642" s="55">
        <v>22.58</v>
      </c>
    </row>
    <row r="643" spans="8:10" x14ac:dyDescent="0.3">
      <c r="H643" t="s">
        <v>81</v>
      </c>
      <c r="I643">
        <v>460</v>
      </c>
      <c r="J643" s="55">
        <v>22.79</v>
      </c>
    </row>
    <row r="644" spans="8:10" x14ac:dyDescent="0.3">
      <c r="H644" t="s">
        <v>81</v>
      </c>
      <c r="I644">
        <v>461</v>
      </c>
      <c r="J644" s="55">
        <v>23.01</v>
      </c>
    </row>
    <row r="645" spans="8:10" x14ac:dyDescent="0.3">
      <c r="H645" t="s">
        <v>81</v>
      </c>
      <c r="I645">
        <v>462</v>
      </c>
      <c r="J645" s="55">
        <v>23.23</v>
      </c>
    </row>
    <row r="646" spans="8:10" x14ac:dyDescent="0.3">
      <c r="H646" t="s">
        <v>81</v>
      </c>
      <c r="I646">
        <v>463</v>
      </c>
      <c r="J646" s="55">
        <v>23.45</v>
      </c>
    </row>
    <row r="647" spans="8:10" x14ac:dyDescent="0.3">
      <c r="H647" t="s">
        <v>81</v>
      </c>
      <c r="I647">
        <v>464</v>
      </c>
      <c r="J647" s="55">
        <v>23.68</v>
      </c>
    </row>
    <row r="648" spans="8:10" x14ac:dyDescent="0.3">
      <c r="H648" t="s">
        <v>81</v>
      </c>
      <c r="I648">
        <v>465</v>
      </c>
      <c r="J648" s="55">
        <v>23.92</v>
      </c>
    </row>
    <row r="649" spans="8:10" x14ac:dyDescent="0.3">
      <c r="H649" t="s">
        <v>81</v>
      </c>
      <c r="I649">
        <v>466</v>
      </c>
      <c r="J649" s="55">
        <v>24.15</v>
      </c>
    </row>
    <row r="650" spans="8:10" x14ac:dyDescent="0.3">
      <c r="H650" t="s">
        <v>81</v>
      </c>
      <c r="I650">
        <v>467</v>
      </c>
      <c r="J650" s="55">
        <v>24.4</v>
      </c>
    </row>
    <row r="651" spans="8:10" x14ac:dyDescent="0.3">
      <c r="H651" t="s">
        <v>81</v>
      </c>
      <c r="I651">
        <v>468</v>
      </c>
      <c r="J651" s="55">
        <v>24.65</v>
      </c>
    </row>
    <row r="652" spans="8:10" x14ac:dyDescent="0.3">
      <c r="H652" t="s">
        <v>81</v>
      </c>
      <c r="I652">
        <v>469</v>
      </c>
      <c r="J652" s="55">
        <v>24.91</v>
      </c>
    </row>
    <row r="653" spans="8:10" x14ac:dyDescent="0.3">
      <c r="H653" t="s">
        <v>81</v>
      </c>
      <c r="I653">
        <v>470</v>
      </c>
      <c r="J653" s="55">
        <v>25.16</v>
      </c>
    </row>
    <row r="654" spans="8:10" x14ac:dyDescent="0.3">
      <c r="H654" t="s">
        <v>81</v>
      </c>
      <c r="I654">
        <v>471</v>
      </c>
      <c r="J654" s="55">
        <v>25.42</v>
      </c>
    </row>
    <row r="655" spans="8:10" x14ac:dyDescent="0.3">
      <c r="H655" t="s">
        <v>81</v>
      </c>
      <c r="I655">
        <v>472</v>
      </c>
      <c r="J655" s="55">
        <v>25.69</v>
      </c>
    </row>
    <row r="656" spans="8:10" x14ac:dyDescent="0.3">
      <c r="H656" t="s">
        <v>81</v>
      </c>
      <c r="I656">
        <v>473</v>
      </c>
      <c r="J656" s="55">
        <v>25.96</v>
      </c>
    </row>
    <row r="657" spans="8:10" x14ac:dyDescent="0.3">
      <c r="H657" t="s">
        <v>81</v>
      </c>
      <c r="I657">
        <v>474</v>
      </c>
      <c r="J657" s="55">
        <v>26.23</v>
      </c>
    </row>
    <row r="658" spans="8:10" x14ac:dyDescent="0.3">
      <c r="H658" t="s">
        <v>81</v>
      </c>
      <c r="I658">
        <v>475</v>
      </c>
      <c r="J658" s="55">
        <v>26.51</v>
      </c>
    </row>
    <row r="659" spans="8:10" x14ac:dyDescent="0.3">
      <c r="H659" t="s">
        <v>81</v>
      </c>
      <c r="I659">
        <v>476</v>
      </c>
      <c r="J659" s="55">
        <v>26.8</v>
      </c>
    </row>
    <row r="660" spans="8:10" x14ac:dyDescent="0.3">
      <c r="H660" t="s">
        <v>81</v>
      </c>
      <c r="I660">
        <v>477</v>
      </c>
      <c r="J660" s="55">
        <v>27.08</v>
      </c>
    </row>
    <row r="661" spans="8:10" x14ac:dyDescent="0.3">
      <c r="H661" t="s">
        <v>81</v>
      </c>
      <c r="I661">
        <v>478</v>
      </c>
      <c r="J661" s="55">
        <v>27.38</v>
      </c>
    </row>
    <row r="662" spans="8:10" x14ac:dyDescent="0.3">
      <c r="H662" t="s">
        <v>81</v>
      </c>
      <c r="I662">
        <v>479</v>
      </c>
      <c r="J662" s="55">
        <v>27.67</v>
      </c>
    </row>
    <row r="663" spans="8:10" x14ac:dyDescent="0.3">
      <c r="H663" t="s">
        <v>81</v>
      </c>
      <c r="I663">
        <v>480</v>
      </c>
      <c r="J663" s="55">
        <v>27.96</v>
      </c>
    </row>
    <row r="664" spans="8:10" x14ac:dyDescent="0.3">
      <c r="H664" t="s">
        <v>81</v>
      </c>
      <c r="I664">
        <v>481</v>
      </c>
      <c r="J664" s="55">
        <v>28.25</v>
      </c>
    </row>
    <row r="665" spans="8:10" x14ac:dyDescent="0.3">
      <c r="H665" t="s">
        <v>81</v>
      </c>
      <c r="I665">
        <v>482</v>
      </c>
      <c r="J665" s="55">
        <v>28.56</v>
      </c>
    </row>
    <row r="666" spans="8:10" x14ac:dyDescent="0.3">
      <c r="H666" t="s">
        <v>81</v>
      </c>
      <c r="I666">
        <v>483</v>
      </c>
      <c r="J666" s="55">
        <v>28.86</v>
      </c>
    </row>
    <row r="667" spans="8:10" x14ac:dyDescent="0.3">
      <c r="H667" t="s">
        <v>81</v>
      </c>
      <c r="I667">
        <v>484</v>
      </c>
      <c r="J667" s="55">
        <v>29.16</v>
      </c>
    </row>
    <row r="668" spans="8:10" x14ac:dyDescent="0.3">
      <c r="H668" t="s">
        <v>81</v>
      </c>
      <c r="I668">
        <v>485</v>
      </c>
      <c r="J668" s="55">
        <v>29.47</v>
      </c>
    </row>
    <row r="669" spans="8:10" x14ac:dyDescent="0.3">
      <c r="H669" t="s">
        <v>81</v>
      </c>
      <c r="I669">
        <v>486</v>
      </c>
      <c r="J669" s="55">
        <v>29.78</v>
      </c>
    </row>
    <row r="670" spans="8:10" x14ac:dyDescent="0.3">
      <c r="H670" t="s">
        <v>81</v>
      </c>
      <c r="I670">
        <v>487</v>
      </c>
      <c r="J670" s="55">
        <v>30.09</v>
      </c>
    </row>
    <row r="671" spans="8:10" x14ac:dyDescent="0.3">
      <c r="H671" t="s">
        <v>81</v>
      </c>
      <c r="I671">
        <v>488</v>
      </c>
      <c r="J671" s="55">
        <v>30.4</v>
      </c>
    </row>
    <row r="672" spans="8:10" x14ac:dyDescent="0.3">
      <c r="H672" t="s">
        <v>81</v>
      </c>
      <c r="I672">
        <v>489</v>
      </c>
      <c r="J672" s="55">
        <v>30.7</v>
      </c>
    </row>
    <row r="673" spans="8:10" x14ac:dyDescent="0.3">
      <c r="H673" t="s">
        <v>81</v>
      </c>
      <c r="I673">
        <v>490</v>
      </c>
      <c r="J673" s="55">
        <v>31.01</v>
      </c>
    </row>
    <row r="674" spans="8:10" x14ac:dyDescent="0.3">
      <c r="H674" t="s">
        <v>81</v>
      </c>
      <c r="I674">
        <v>491</v>
      </c>
      <c r="J674" s="55">
        <v>31.32</v>
      </c>
    </row>
    <row r="675" spans="8:10" x14ac:dyDescent="0.3">
      <c r="H675" t="s">
        <v>81</v>
      </c>
      <c r="I675">
        <v>492</v>
      </c>
      <c r="J675" s="55">
        <v>31.64</v>
      </c>
    </row>
    <row r="676" spans="8:10" x14ac:dyDescent="0.3">
      <c r="H676" t="s">
        <v>81</v>
      </c>
      <c r="I676">
        <v>493</v>
      </c>
      <c r="J676" s="55">
        <v>31.95</v>
      </c>
    </row>
    <row r="677" spans="8:10" x14ac:dyDescent="0.3">
      <c r="H677" t="s">
        <v>81</v>
      </c>
      <c r="I677">
        <v>494</v>
      </c>
      <c r="J677" s="55">
        <v>32.26</v>
      </c>
    </row>
    <row r="678" spans="8:10" x14ac:dyDescent="0.3">
      <c r="H678" t="s">
        <v>81</v>
      </c>
      <c r="I678">
        <v>495</v>
      </c>
      <c r="J678" s="55">
        <v>32.57</v>
      </c>
    </row>
    <row r="679" spans="8:10" x14ac:dyDescent="0.3">
      <c r="H679" t="s">
        <v>81</v>
      </c>
      <c r="I679">
        <v>496</v>
      </c>
      <c r="J679" s="55">
        <v>32.869999999999997</v>
      </c>
    </row>
    <row r="680" spans="8:10" x14ac:dyDescent="0.3">
      <c r="H680" t="s">
        <v>81</v>
      </c>
      <c r="I680">
        <v>497</v>
      </c>
      <c r="J680" s="55">
        <v>33.18</v>
      </c>
    </row>
    <row r="681" spans="8:10" x14ac:dyDescent="0.3">
      <c r="H681" t="s">
        <v>81</v>
      </c>
      <c r="I681">
        <v>498</v>
      </c>
      <c r="J681" s="55">
        <v>33.49</v>
      </c>
    </row>
    <row r="682" spans="8:10" x14ac:dyDescent="0.3">
      <c r="H682" t="s">
        <v>81</v>
      </c>
      <c r="I682">
        <v>499</v>
      </c>
      <c r="J682" s="55">
        <v>33.78</v>
      </c>
    </row>
    <row r="683" spans="8:10" x14ac:dyDescent="0.3">
      <c r="H683" t="s">
        <v>81</v>
      </c>
      <c r="I683">
        <v>500</v>
      </c>
      <c r="J683" s="55">
        <v>34.08</v>
      </c>
    </row>
    <row r="684" spans="8:10" x14ac:dyDescent="0.3">
      <c r="H684" t="s">
        <v>81</v>
      </c>
      <c r="I684">
        <v>501</v>
      </c>
      <c r="J684" s="55">
        <v>34.380000000000003</v>
      </c>
    </row>
    <row r="685" spans="8:10" x14ac:dyDescent="0.3">
      <c r="H685" t="s">
        <v>81</v>
      </c>
      <c r="I685">
        <v>502</v>
      </c>
      <c r="J685" s="55">
        <v>34.67</v>
      </c>
    </row>
    <row r="686" spans="8:10" x14ac:dyDescent="0.3">
      <c r="H686" t="s">
        <v>81</v>
      </c>
      <c r="I686">
        <v>503</v>
      </c>
      <c r="J686" s="55">
        <v>34.97</v>
      </c>
    </row>
    <row r="687" spans="8:10" x14ac:dyDescent="0.3">
      <c r="H687" t="s">
        <v>81</v>
      </c>
      <c r="I687">
        <v>504</v>
      </c>
      <c r="J687" s="55">
        <v>35.26</v>
      </c>
    </row>
    <row r="688" spans="8:10" x14ac:dyDescent="0.3">
      <c r="H688" t="s">
        <v>81</v>
      </c>
      <c r="I688">
        <v>505</v>
      </c>
      <c r="J688" s="55">
        <v>35.54</v>
      </c>
    </row>
    <row r="689" spans="8:10" x14ac:dyDescent="0.3">
      <c r="H689" t="s">
        <v>81</v>
      </c>
      <c r="I689">
        <v>506</v>
      </c>
      <c r="J689" s="55">
        <v>35.82</v>
      </c>
    </row>
    <row r="690" spans="8:10" x14ac:dyDescent="0.3">
      <c r="H690" t="s">
        <v>81</v>
      </c>
      <c r="I690">
        <v>507</v>
      </c>
      <c r="J690" s="55">
        <v>36.1</v>
      </c>
    </row>
    <row r="691" spans="8:10" x14ac:dyDescent="0.3">
      <c r="H691" t="s">
        <v>81</v>
      </c>
      <c r="I691">
        <v>508</v>
      </c>
      <c r="J691" s="55">
        <v>36.36</v>
      </c>
    </row>
    <row r="692" spans="8:10" x14ac:dyDescent="0.3">
      <c r="H692" t="s">
        <v>81</v>
      </c>
      <c r="I692">
        <v>509</v>
      </c>
      <c r="J692" s="55">
        <v>36.630000000000003</v>
      </c>
    </row>
    <row r="693" spans="8:10" x14ac:dyDescent="0.3">
      <c r="H693" t="s">
        <v>81</v>
      </c>
      <c r="I693">
        <v>510</v>
      </c>
      <c r="J693" s="55">
        <v>36.89</v>
      </c>
    </row>
    <row r="694" spans="8:10" x14ac:dyDescent="0.3">
      <c r="H694" t="s">
        <v>81</v>
      </c>
      <c r="I694">
        <v>511</v>
      </c>
      <c r="J694" s="55">
        <v>37.15</v>
      </c>
    </row>
    <row r="695" spans="8:10" x14ac:dyDescent="0.3">
      <c r="H695" t="s">
        <v>81</v>
      </c>
      <c r="I695">
        <v>512</v>
      </c>
      <c r="J695" s="55">
        <v>37.409999999999997</v>
      </c>
    </row>
    <row r="696" spans="8:10" x14ac:dyDescent="0.3">
      <c r="H696" t="s">
        <v>81</v>
      </c>
      <c r="I696">
        <v>513</v>
      </c>
      <c r="J696" s="55">
        <v>37.67</v>
      </c>
    </row>
    <row r="697" spans="8:10" x14ac:dyDescent="0.3">
      <c r="H697" t="s">
        <v>81</v>
      </c>
      <c r="I697">
        <v>514</v>
      </c>
      <c r="J697" s="55">
        <v>37.89</v>
      </c>
    </row>
    <row r="698" spans="8:10" x14ac:dyDescent="0.3">
      <c r="H698" t="s">
        <v>81</v>
      </c>
      <c r="I698">
        <v>515</v>
      </c>
      <c r="J698" s="55">
        <v>38.14</v>
      </c>
    </row>
    <row r="699" spans="8:10" x14ac:dyDescent="0.3">
      <c r="H699" t="s">
        <v>81</v>
      </c>
      <c r="I699">
        <v>516</v>
      </c>
      <c r="J699" s="55">
        <v>38.380000000000003</v>
      </c>
    </row>
    <row r="700" spans="8:10" x14ac:dyDescent="0.3">
      <c r="H700" t="s">
        <v>81</v>
      </c>
      <c r="I700">
        <v>517</v>
      </c>
      <c r="J700" s="55">
        <v>38.6</v>
      </c>
    </row>
    <row r="701" spans="8:10" x14ac:dyDescent="0.3">
      <c r="H701" t="s">
        <v>81</v>
      </c>
      <c r="I701">
        <v>518</v>
      </c>
      <c r="J701" s="55">
        <v>38.82</v>
      </c>
    </row>
    <row r="702" spans="8:10" x14ac:dyDescent="0.3">
      <c r="H702" t="s">
        <v>81</v>
      </c>
      <c r="I702">
        <v>519</v>
      </c>
      <c r="J702" s="55">
        <v>39.049999999999997</v>
      </c>
    </row>
    <row r="703" spans="8:10" x14ac:dyDescent="0.3">
      <c r="H703" t="s">
        <v>81</v>
      </c>
      <c r="I703">
        <v>520</v>
      </c>
      <c r="J703" s="55">
        <v>39.26</v>
      </c>
    </row>
    <row r="704" spans="8:10" x14ac:dyDescent="0.3">
      <c r="H704" t="s">
        <v>81</v>
      </c>
      <c r="I704">
        <v>521</v>
      </c>
      <c r="J704" s="55">
        <v>39.47</v>
      </c>
    </row>
    <row r="705" spans="8:10" x14ac:dyDescent="0.3">
      <c r="H705" t="s">
        <v>81</v>
      </c>
      <c r="I705">
        <v>522</v>
      </c>
      <c r="J705" s="55">
        <v>39.67</v>
      </c>
    </row>
    <row r="706" spans="8:10" x14ac:dyDescent="0.3">
      <c r="H706" t="s">
        <v>81</v>
      </c>
      <c r="I706">
        <v>523</v>
      </c>
      <c r="J706" s="55">
        <v>39.86</v>
      </c>
    </row>
    <row r="707" spans="8:10" x14ac:dyDescent="0.3">
      <c r="H707" t="s">
        <v>81</v>
      </c>
      <c r="I707">
        <v>524</v>
      </c>
      <c r="J707" s="55">
        <v>40.049999999999997</v>
      </c>
    </row>
    <row r="708" spans="8:10" x14ac:dyDescent="0.3">
      <c r="H708" t="s">
        <v>81</v>
      </c>
      <c r="I708">
        <v>525</v>
      </c>
      <c r="J708" s="55">
        <v>40.24</v>
      </c>
    </row>
    <row r="709" spans="8:10" x14ac:dyDescent="0.3">
      <c r="H709" t="s">
        <v>81</v>
      </c>
      <c r="I709">
        <v>526</v>
      </c>
      <c r="J709" s="55">
        <v>40.43</v>
      </c>
    </row>
    <row r="710" spans="8:10" x14ac:dyDescent="0.3">
      <c r="H710" t="s">
        <v>81</v>
      </c>
      <c r="I710">
        <v>527</v>
      </c>
      <c r="J710" s="55">
        <v>40.590000000000003</v>
      </c>
    </row>
    <row r="711" spans="8:10" x14ac:dyDescent="0.3">
      <c r="H711" t="s">
        <v>81</v>
      </c>
      <c r="I711">
        <v>528</v>
      </c>
      <c r="J711" s="55">
        <v>40.770000000000003</v>
      </c>
    </row>
    <row r="712" spans="8:10" x14ac:dyDescent="0.3">
      <c r="H712" t="s">
        <v>81</v>
      </c>
      <c r="I712">
        <v>529</v>
      </c>
      <c r="J712" s="55">
        <v>40.92</v>
      </c>
    </row>
    <row r="713" spans="8:10" x14ac:dyDescent="0.3">
      <c r="H713" t="s">
        <v>81</v>
      </c>
      <c r="I713">
        <v>530</v>
      </c>
      <c r="J713" s="55">
        <v>41.09</v>
      </c>
    </row>
    <row r="714" spans="8:10" x14ac:dyDescent="0.3">
      <c r="H714" t="s">
        <v>81</v>
      </c>
      <c r="I714">
        <v>531</v>
      </c>
      <c r="J714" s="55">
        <v>41.23</v>
      </c>
    </row>
    <row r="715" spans="8:10" x14ac:dyDescent="0.3">
      <c r="H715" t="s">
        <v>81</v>
      </c>
      <c r="I715">
        <v>532</v>
      </c>
      <c r="J715" s="55">
        <v>41.39</v>
      </c>
    </row>
    <row r="716" spans="8:10" x14ac:dyDescent="0.3">
      <c r="H716" t="s">
        <v>81</v>
      </c>
      <c r="I716">
        <v>533</v>
      </c>
      <c r="J716" s="55">
        <v>41.53</v>
      </c>
    </row>
    <row r="717" spans="8:10" x14ac:dyDescent="0.3">
      <c r="H717" t="s">
        <v>81</v>
      </c>
      <c r="I717">
        <v>534</v>
      </c>
      <c r="J717" s="55">
        <v>41.66</v>
      </c>
    </row>
    <row r="718" spans="8:10" x14ac:dyDescent="0.3">
      <c r="H718" t="s">
        <v>81</v>
      </c>
      <c r="I718">
        <v>535</v>
      </c>
      <c r="J718" s="55">
        <v>41.8</v>
      </c>
    </row>
    <row r="719" spans="8:10" x14ac:dyDescent="0.3">
      <c r="H719" t="s">
        <v>81</v>
      </c>
      <c r="I719">
        <v>536</v>
      </c>
      <c r="J719" s="55">
        <v>41.93</v>
      </c>
    </row>
    <row r="720" spans="8:10" x14ac:dyDescent="0.3">
      <c r="H720" t="s">
        <v>81</v>
      </c>
      <c r="I720">
        <v>537</v>
      </c>
      <c r="J720" s="55">
        <v>42.04</v>
      </c>
    </row>
    <row r="721" spans="8:10" x14ac:dyDescent="0.3">
      <c r="H721" t="s">
        <v>81</v>
      </c>
      <c r="I721">
        <v>538</v>
      </c>
      <c r="J721" s="55">
        <v>42.17</v>
      </c>
    </row>
    <row r="722" spans="8:10" x14ac:dyDescent="0.3">
      <c r="H722" t="s">
        <v>81</v>
      </c>
      <c r="I722">
        <v>539</v>
      </c>
      <c r="J722" s="55">
        <v>42.28</v>
      </c>
    </row>
    <row r="723" spans="8:10" x14ac:dyDescent="0.3">
      <c r="H723" t="s">
        <v>81</v>
      </c>
      <c r="I723">
        <v>540</v>
      </c>
      <c r="J723" s="55">
        <v>42.39</v>
      </c>
    </row>
    <row r="724" spans="8:10" x14ac:dyDescent="0.3">
      <c r="H724" t="s">
        <v>81</v>
      </c>
      <c r="I724">
        <v>541</v>
      </c>
      <c r="J724" s="55">
        <v>42.5</v>
      </c>
    </row>
    <row r="725" spans="8:10" x14ac:dyDescent="0.3">
      <c r="H725" t="s">
        <v>81</v>
      </c>
      <c r="I725">
        <v>542</v>
      </c>
      <c r="J725" s="55">
        <v>42.6</v>
      </c>
    </row>
    <row r="726" spans="8:10" x14ac:dyDescent="0.3">
      <c r="H726" t="s">
        <v>81</v>
      </c>
      <c r="I726">
        <v>543</v>
      </c>
      <c r="J726" s="55">
        <v>42.69</v>
      </c>
    </row>
    <row r="727" spans="8:10" x14ac:dyDescent="0.3">
      <c r="H727" t="s">
        <v>81</v>
      </c>
      <c r="I727">
        <v>544</v>
      </c>
      <c r="J727" s="55">
        <v>42.79</v>
      </c>
    </row>
    <row r="728" spans="8:10" x14ac:dyDescent="0.3">
      <c r="H728" t="s">
        <v>81</v>
      </c>
      <c r="I728">
        <v>545</v>
      </c>
      <c r="J728" s="55">
        <v>42.88</v>
      </c>
    </row>
    <row r="729" spans="8:10" x14ac:dyDescent="0.3">
      <c r="H729" t="s">
        <v>81</v>
      </c>
      <c r="I729">
        <v>546</v>
      </c>
      <c r="J729" s="55">
        <v>42.96</v>
      </c>
    </row>
    <row r="730" spans="8:10" x14ac:dyDescent="0.3">
      <c r="H730" t="s">
        <v>81</v>
      </c>
      <c r="I730">
        <v>547</v>
      </c>
      <c r="J730" s="55">
        <v>43.04</v>
      </c>
    </row>
    <row r="731" spans="8:10" x14ac:dyDescent="0.3">
      <c r="H731" t="s">
        <v>81</v>
      </c>
      <c r="I731">
        <v>548</v>
      </c>
      <c r="J731" s="55">
        <v>43.13</v>
      </c>
    </row>
    <row r="732" spans="8:10" x14ac:dyDescent="0.3">
      <c r="H732" t="s">
        <v>81</v>
      </c>
      <c r="I732">
        <v>549</v>
      </c>
      <c r="J732" s="55">
        <v>43.2</v>
      </c>
    </row>
    <row r="733" spans="8:10" x14ac:dyDescent="0.3">
      <c r="H733" t="s">
        <v>81</v>
      </c>
      <c r="I733">
        <v>550</v>
      </c>
      <c r="J733" s="55">
        <v>43.26</v>
      </c>
    </row>
    <row r="734" spans="8:10" x14ac:dyDescent="0.3">
      <c r="H734" t="s">
        <v>81</v>
      </c>
      <c r="I734">
        <v>551</v>
      </c>
      <c r="J734" s="55">
        <v>43.33</v>
      </c>
    </row>
    <row r="735" spans="8:10" x14ac:dyDescent="0.3">
      <c r="H735" t="s">
        <v>81</v>
      </c>
      <c r="I735">
        <v>552</v>
      </c>
      <c r="J735" s="55">
        <v>43.39</v>
      </c>
    </row>
    <row r="736" spans="8:10" x14ac:dyDescent="0.3">
      <c r="H736" t="s">
        <v>81</v>
      </c>
      <c r="I736">
        <v>553</v>
      </c>
      <c r="J736" s="55">
        <v>43.47</v>
      </c>
    </row>
    <row r="737" spans="8:10" x14ac:dyDescent="0.3">
      <c r="H737" t="s">
        <v>81</v>
      </c>
      <c r="I737">
        <v>554</v>
      </c>
      <c r="J737" s="55">
        <v>43.52</v>
      </c>
    </row>
    <row r="738" spans="8:10" x14ac:dyDescent="0.3">
      <c r="H738" t="s">
        <v>81</v>
      </c>
      <c r="I738">
        <v>555</v>
      </c>
      <c r="J738" s="55">
        <v>43.57</v>
      </c>
    </row>
    <row r="739" spans="8:10" x14ac:dyDescent="0.3">
      <c r="H739" t="s">
        <v>81</v>
      </c>
      <c r="I739">
        <v>556</v>
      </c>
      <c r="J739" s="55">
        <v>43.62</v>
      </c>
    </row>
    <row r="740" spans="8:10" x14ac:dyDescent="0.3">
      <c r="H740" t="s">
        <v>81</v>
      </c>
      <c r="I740">
        <v>557</v>
      </c>
      <c r="J740" s="55">
        <v>43.67</v>
      </c>
    </row>
    <row r="741" spans="8:10" x14ac:dyDescent="0.3">
      <c r="H741" t="s">
        <v>81</v>
      </c>
      <c r="I741">
        <v>558</v>
      </c>
      <c r="J741" s="55">
        <v>43.72</v>
      </c>
    </row>
    <row r="742" spans="8:10" x14ac:dyDescent="0.3">
      <c r="H742" t="s">
        <v>81</v>
      </c>
      <c r="I742">
        <v>559</v>
      </c>
      <c r="J742" s="55">
        <v>43.78</v>
      </c>
    </row>
    <row r="743" spans="8:10" x14ac:dyDescent="0.3">
      <c r="H743" t="s">
        <v>81</v>
      </c>
      <c r="I743">
        <v>560</v>
      </c>
      <c r="J743" s="55">
        <v>43.82</v>
      </c>
    </row>
    <row r="744" spans="8:10" x14ac:dyDescent="0.3">
      <c r="H744" t="s">
        <v>81</v>
      </c>
      <c r="I744">
        <v>561</v>
      </c>
      <c r="J744" s="55">
        <v>43.86</v>
      </c>
    </row>
    <row r="745" spans="8:10" x14ac:dyDescent="0.3">
      <c r="H745" t="s">
        <v>81</v>
      </c>
      <c r="I745">
        <v>562</v>
      </c>
      <c r="J745" s="55">
        <v>43.89</v>
      </c>
    </row>
    <row r="746" spans="8:10" x14ac:dyDescent="0.3">
      <c r="H746" t="s">
        <v>81</v>
      </c>
      <c r="I746">
        <v>563</v>
      </c>
      <c r="J746" s="55">
        <v>43.93</v>
      </c>
    </row>
    <row r="747" spans="8:10" x14ac:dyDescent="0.3">
      <c r="H747" t="s">
        <v>81</v>
      </c>
      <c r="I747">
        <v>564</v>
      </c>
      <c r="J747" s="55">
        <v>43.96</v>
      </c>
    </row>
    <row r="748" spans="8:10" x14ac:dyDescent="0.3">
      <c r="H748" t="s">
        <v>81</v>
      </c>
      <c r="I748">
        <v>565</v>
      </c>
      <c r="J748" s="55">
        <v>43.99</v>
      </c>
    </row>
    <row r="749" spans="8:10" x14ac:dyDescent="0.3">
      <c r="H749" t="s">
        <v>81</v>
      </c>
      <c r="I749">
        <v>566</v>
      </c>
      <c r="J749" s="55">
        <v>44.03</v>
      </c>
    </row>
    <row r="750" spans="8:10" x14ac:dyDescent="0.3">
      <c r="H750" t="s">
        <v>81</v>
      </c>
      <c r="I750">
        <v>567</v>
      </c>
      <c r="J750" s="55">
        <v>44.06</v>
      </c>
    </row>
    <row r="751" spans="8:10" x14ac:dyDescent="0.3">
      <c r="H751" t="s">
        <v>81</v>
      </c>
      <c r="I751">
        <v>568</v>
      </c>
      <c r="J751" s="55">
        <v>44.09</v>
      </c>
    </row>
    <row r="752" spans="8:10" x14ac:dyDescent="0.3">
      <c r="H752" t="s">
        <v>81</v>
      </c>
      <c r="I752">
        <v>569</v>
      </c>
      <c r="J752" s="55">
        <v>44.11</v>
      </c>
    </row>
  </sheetData>
  <phoneticPr fontId="23" type="noConversion"/>
  <hyperlinks>
    <hyperlink ref="Q36" r:id="rId1" location=":~:text=We%20provide%20base%20funding%20to,costs%20as%20a%20larger%20school)." xr:uid="{2EDD793F-AB73-4FB6-A2EF-57258AAF5147}"/>
    <hyperlink ref="Q37" r:id="rId2" location=":~:text=We%20provide%20base%20funding%20to,costs%20as%20a%20larger%20school)." xr:uid="{46A4393B-FC88-4502-99DB-77924C00BE85}"/>
    <hyperlink ref="Q38" r:id="rId3" location=":~:text=We%20provide%20base%20funding%20to,costs%20as%20a%20larger%20school)." xr:uid="{649CE866-E398-4148-A753-31090416BFD4}"/>
  </hyperlinks>
  <pageMargins left="0.7" right="0.7" top="0.75" bottom="0.75" header="0.3" footer="0.3"/>
  <pageSetup orientation="portrait" r:id="rId4"/>
  <drawing r:id="rId5"/>
  <tableParts count="24">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90D5-CBD7-4E20-A407-CD05A9BF57E0}">
  <sheetPr codeName="Sheet2">
    <tabColor rgb="FF92D050"/>
  </sheetPr>
  <dimension ref="B3:D15"/>
  <sheetViews>
    <sheetView zoomScale="85" zoomScaleNormal="85" workbookViewId="0">
      <selection activeCell="C11" sqref="C11"/>
    </sheetView>
  </sheetViews>
  <sheetFormatPr defaultRowHeight="15" x14ac:dyDescent="0.25"/>
  <cols>
    <col min="2" max="3" width="93.42578125" customWidth="1"/>
    <col min="4" max="4" width="42.7109375" customWidth="1"/>
  </cols>
  <sheetData>
    <row r="3" spans="2:4" x14ac:dyDescent="0.25">
      <c r="B3" s="241" t="s">
        <v>364</v>
      </c>
      <c r="C3" s="241"/>
      <c r="D3" s="193"/>
    </row>
    <row r="4" spans="2:4" x14ac:dyDescent="0.25">
      <c r="B4" s="189" t="s">
        <v>362</v>
      </c>
      <c r="C4" s="244" t="s">
        <v>443</v>
      </c>
      <c r="D4" s="190" t="s">
        <v>363</v>
      </c>
    </row>
    <row r="5" spans="2:4" ht="25.5" x14ac:dyDescent="0.25">
      <c r="B5" s="191" t="s">
        <v>365</v>
      </c>
      <c r="C5" s="245" t="s">
        <v>444</v>
      </c>
      <c r="D5" s="242" t="s">
        <v>366</v>
      </c>
    </row>
    <row r="6" spans="2:4" ht="25.5" x14ac:dyDescent="0.25">
      <c r="B6" s="191" t="s">
        <v>367</v>
      </c>
      <c r="C6" s="245" t="s">
        <v>445</v>
      </c>
      <c r="D6" s="242" t="s">
        <v>368</v>
      </c>
    </row>
    <row r="7" spans="2:4" ht="25.5" x14ac:dyDescent="0.25">
      <c r="B7" s="191" t="s">
        <v>369</v>
      </c>
      <c r="C7" s="245" t="s">
        <v>446</v>
      </c>
      <c r="D7" s="242" t="s">
        <v>368</v>
      </c>
    </row>
    <row r="8" spans="2:4" ht="25.5" x14ac:dyDescent="0.25">
      <c r="B8" s="191" t="s">
        <v>370</v>
      </c>
      <c r="C8" s="245" t="s">
        <v>447</v>
      </c>
      <c r="D8" s="242" t="s">
        <v>368</v>
      </c>
    </row>
    <row r="9" spans="2:4" ht="38.25" x14ac:dyDescent="0.25">
      <c r="B9" s="191" t="s">
        <v>371</v>
      </c>
      <c r="C9" s="245" t="s">
        <v>448</v>
      </c>
      <c r="D9" s="242" t="s">
        <v>368</v>
      </c>
    </row>
    <row r="10" spans="2:4" x14ac:dyDescent="0.25">
      <c r="B10" s="191" t="s">
        <v>372</v>
      </c>
      <c r="C10" s="245" t="s">
        <v>449</v>
      </c>
      <c r="D10" s="242" t="s">
        <v>368</v>
      </c>
    </row>
    <row r="11" spans="2:4" ht="25.5" x14ac:dyDescent="0.25">
      <c r="B11" s="191" t="s">
        <v>373</v>
      </c>
      <c r="C11" s="245" t="s">
        <v>450</v>
      </c>
      <c r="D11" s="242" t="s">
        <v>368</v>
      </c>
    </row>
    <row r="12" spans="2:4" x14ac:dyDescent="0.25">
      <c r="B12" s="191" t="s">
        <v>374</v>
      </c>
      <c r="C12" s="245" t="s">
        <v>451</v>
      </c>
      <c r="D12" s="242" t="s">
        <v>375</v>
      </c>
    </row>
    <row r="13" spans="2:4" ht="25.5" x14ac:dyDescent="0.25">
      <c r="B13" s="191" t="s">
        <v>376</v>
      </c>
      <c r="C13" s="245" t="s">
        <v>452</v>
      </c>
      <c r="D13" s="242" t="s">
        <v>375</v>
      </c>
    </row>
    <row r="14" spans="2:4" x14ac:dyDescent="0.25">
      <c r="B14" s="191" t="s">
        <v>377</v>
      </c>
      <c r="C14" s="245" t="s">
        <v>453</v>
      </c>
      <c r="D14" s="242" t="s">
        <v>375</v>
      </c>
    </row>
    <row r="15" spans="2:4" ht="38.25" x14ac:dyDescent="0.25">
      <c r="B15" s="192" t="s">
        <v>378</v>
      </c>
      <c r="C15" s="246" t="s">
        <v>454</v>
      </c>
      <c r="D15" s="243" t="s">
        <v>375</v>
      </c>
    </row>
  </sheetData>
  <sheetProtection algorithmName="SHA-512" hashValue="ByNnxuHXEU7xRXsskSJyfpMx9AMD/nndrvFDeve38YYhLIa2uD2jdYpJ+6V/l64vZjm+fqJX+KYxSsl235Tr4A==" saltValue="mTmZIMVMfmV7lh2Lr8RCuQ=="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5e3223-0939-426d-aad9-f7fdbe9ac9e6" xsi:nil="true"/>
    <_dlc_DocId xmlns="025e3223-0939-426d-aad9-f7fdbe9ac9e6">CSAID-1719580804-4040</_dlc_DocId>
    <_dlc_DocIdUrl xmlns="025e3223-0939-426d-aad9-f7fdbe9ac9e6">
      <Url>https://educationgovtnz.sharepoint.com/sites/CSACharterSchoolAgency/_layouts/15/DocIdRedir.aspx?ID=CSAID-1719580804-4040</Url>
      <Description>CSAID-1719580804-4040</Description>
    </_dlc_DocIdUrl>
    <_ip_UnifiedCompliancePolicyUIAction xmlns="http://schemas.microsoft.com/sharepoint/v3" xsi:nil="true"/>
    <lcf76f155ced4ddcb4097134ff3c332f xmlns="1e0d1002-2b83-4dcd-a332-cd601b27e019">
      <Terms xmlns="http://schemas.microsoft.com/office/infopath/2007/PartnerControls"/>
    </lcf76f155ced4ddcb4097134ff3c332f>
    <_ip_UnifiedCompliancePolicyProperties xmlns="http://schemas.microsoft.com/sharepoint/v3" xsi:nil="true"/>
    <SharedWithUsers xmlns="025e3223-0939-426d-aad9-f7fdbe9ac9e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02447076A9BB45905922DFA084A4F9" ma:contentTypeVersion="17" ma:contentTypeDescription="Create a new document." ma:contentTypeScope="" ma:versionID="cb90b5b2e4be4541c313e665670b5215">
  <xsd:schema xmlns:xsd="http://www.w3.org/2001/XMLSchema" xmlns:xs="http://www.w3.org/2001/XMLSchema" xmlns:p="http://schemas.microsoft.com/office/2006/metadata/properties" xmlns:ns1="http://schemas.microsoft.com/sharepoint/v3" xmlns:ns2="025e3223-0939-426d-aad9-f7fdbe9ac9e6" xmlns:ns3="1e0d1002-2b83-4dcd-a332-cd601b27e019" targetNamespace="http://schemas.microsoft.com/office/2006/metadata/properties" ma:root="true" ma:fieldsID="875b77ae6bdc59248f225a07e15148db" ns1:_="" ns2:_="" ns3:_="">
    <xsd:import namespace="http://schemas.microsoft.com/sharepoint/v3"/>
    <xsd:import namespace="025e3223-0939-426d-aad9-f7fdbe9ac9e6"/>
    <xsd:import namespace="1e0d1002-2b83-4dcd-a332-cd601b27e01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5e3223-0939-426d-aad9-f7fdbe9ac9e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0002842-e008-4303-87ff-181ac9e3df1e}" ma:internalName="TaxCatchAll" ma:showField="CatchAllData" ma:web="025e3223-0939-426d-aad9-f7fdbe9ac9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0d1002-2b83-4dcd-a332-cd601b27e01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F5FFB-9090-4A27-A968-D972B7B63682}">
  <ds:schemaRefs>
    <ds:schemaRef ds:uri="025e3223-0939-426d-aad9-f7fdbe9ac9e6"/>
    <ds:schemaRef ds:uri="http://schemas.microsoft.com/sharepoint/v3"/>
    <ds:schemaRef ds:uri="http://purl.org/dc/elements/1.1/"/>
    <ds:schemaRef ds:uri="http://schemas.microsoft.com/office/2006/documentManagement/types"/>
    <ds:schemaRef ds:uri="http://schemas.openxmlformats.org/package/2006/metadata/core-properties"/>
    <ds:schemaRef ds:uri="http://purl.org/dc/dcmitype/"/>
    <ds:schemaRef ds:uri="1e0d1002-2b83-4dcd-a332-cd601b27e019"/>
    <ds:schemaRef ds:uri="http://purl.org/dc/terms/"/>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F5E3CC-783C-4835-B9B7-225DA8D19C68}">
  <ds:schemaRefs>
    <ds:schemaRef ds:uri="http://schemas.microsoft.com/sharepoint/v3/contenttype/forms"/>
  </ds:schemaRefs>
</ds:datastoreItem>
</file>

<file path=customXml/itemProps3.xml><?xml version="1.0" encoding="utf-8"?>
<ds:datastoreItem xmlns:ds="http://schemas.openxmlformats.org/officeDocument/2006/customXml" ds:itemID="{169A89E4-C859-4E61-A115-D262780FC37C}">
  <ds:schemaRefs>
    <ds:schemaRef ds:uri="http://schemas.microsoft.com/sharepoint/events"/>
  </ds:schemaRefs>
</ds:datastoreItem>
</file>

<file path=customXml/itemProps4.xml><?xml version="1.0" encoding="utf-8"?>
<ds:datastoreItem xmlns:ds="http://schemas.openxmlformats.org/officeDocument/2006/customXml" ds:itemID="{7659302A-878B-4F81-ADE0-7A782605A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5e3223-0939-426d-aad9-f7fdbe9ac9e6"/>
    <ds:schemaRef ds:uri="1e0d1002-2b83-4dcd-a332-cd601b27e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Readme</vt:lpstr>
      <vt:lpstr>Input</vt:lpstr>
      <vt:lpstr>Output</vt:lpstr>
      <vt:lpstr>Services</vt:lpstr>
      <vt:lpstr>Area_Type</vt:lpstr>
      <vt:lpstr>Donations</vt:lpstr>
      <vt:lpstr>EQI</vt:lpstr>
      <vt:lpstr>EQI_Rate_Table</vt:lpstr>
      <vt:lpstr>Extra_Students</vt:lpstr>
      <vt:lpstr>First_100</vt:lpstr>
      <vt:lpstr>First_Students</vt:lpstr>
      <vt:lpstr>Isolation_Index</vt:lpstr>
      <vt:lpstr>Maori_Immersion</vt:lpstr>
      <vt:lpstr>New_School_Ind</vt:lpstr>
      <vt:lpstr>Primary_Roll</vt:lpstr>
      <vt:lpstr>Property_Type</vt:lpstr>
      <vt:lpstr>Risk_Management</vt:lpstr>
      <vt:lpstr>School_Type</vt:lpstr>
      <vt:lpstr>Secondary_Roll</vt:lpstr>
      <vt:lpstr>Total_Roll</vt:lpstr>
      <vt:lpstr>Vandalism_Risk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Snell</dc:creator>
  <cp:keywords/>
  <dc:description/>
  <cp:lastModifiedBy>Helen Saville</cp:lastModifiedBy>
  <cp:revision/>
  <dcterms:created xsi:type="dcterms:W3CDTF">2022-03-21T22:41:15Z</dcterms:created>
  <dcterms:modified xsi:type="dcterms:W3CDTF">2024-12-04T20:56:17Z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0x0101005202447076A9BB45905922DFA084A4F9</vt:lpwstr>
  </property>
  <property fmtid="{D5CDD505-2E9C-101B-9397-08002B2CF9AE}" pid="5" name="_dlc_DocIdItemGuid">
    <vt:lpwstr>9410c512-a329-40da-8b2a-3653803071c7</vt:lpwstr>
  </property>
  <property fmtid="{D5CDD505-2E9C-101B-9397-08002B2CF9AE}" pid="6" name="j560beb70aea488fb091e84adbb32566">
    <vt:lpwstr/>
  </property>
  <property fmtid="{D5CDD505-2E9C-101B-9397-08002B2CF9AE}" pid="7" name="Ministerial_x0020_Type">
    <vt:lpwstr/>
  </property>
  <property fmtid="{D5CDD505-2E9C-101B-9397-08002B2CF9AE}" pid="8" name="Property_x0020_Management_x0020_Activity">
    <vt:lpwstr/>
  </property>
  <property fmtid="{D5CDD505-2E9C-101B-9397-08002B2CF9AE}" pid="9" name="MediaServiceImageTags">
    <vt:lpwstr/>
  </property>
  <property fmtid="{D5CDD505-2E9C-101B-9397-08002B2CF9AE}" pid="10" name="CalendarYear">
    <vt:lpwstr/>
  </property>
  <property fmtid="{D5CDD505-2E9C-101B-9397-08002B2CF9AE}" pid="11" name="lcf76f155ced4ddcb4097134ff3c332f">
    <vt:lpwstr/>
  </property>
  <property fmtid="{D5CDD505-2E9C-101B-9397-08002B2CF9AE}" pid="12" name="FinancialYear">
    <vt:lpwstr/>
  </property>
  <property fmtid="{D5CDD505-2E9C-101B-9397-08002B2CF9AE}" pid="13" name="ce139978aae645acb1db0a0e0d3df2f5">
    <vt:lpwstr/>
  </property>
  <property fmtid="{D5CDD505-2E9C-101B-9397-08002B2CF9AE}" pid="14" name="Record Activity">
    <vt:lpwstr/>
  </property>
  <property fmtid="{D5CDD505-2E9C-101B-9397-08002B2CF9AE}" pid="15" name="Property Management Activity">
    <vt:lpwstr/>
  </property>
  <property fmtid="{D5CDD505-2E9C-101B-9397-08002B2CF9AE}" pid="16" name="Ministerial Type">
    <vt:lpwstr/>
  </property>
  <property fmtid="{D5CDD505-2E9C-101B-9397-08002B2CF9AE}" pid="17" name="SharedWithUsers">
    <vt:lpwstr>170;#Jordan Naama</vt:lpwstr>
  </property>
  <property fmtid="{D5CDD505-2E9C-101B-9397-08002B2CF9AE}" pid="18" name="Order">
    <vt:r8>31906900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